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3.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charts/chart33.xml" ContentType="application/vnd.openxmlformats-officedocument.drawingml.chart+xml"/>
  <Override PartName="/xl/charts/style31.xml" ContentType="application/vnd.ms-office.chartstyle+xml"/>
  <Override PartName="/xl/charts/colors31.xml" ContentType="application/vnd.ms-office.chartcolorstyle+xml"/>
  <Override PartName="/xl/charts/chart34.xml" ContentType="application/vnd.openxmlformats-officedocument.drawingml.chart+xml"/>
  <Override PartName="/xl/charts/style32.xml" ContentType="application/vnd.ms-office.chartstyle+xml"/>
  <Override PartName="/xl/charts/colors32.xml" ContentType="application/vnd.ms-office.chartcolorstyle+xml"/>
  <Override PartName="/xl/charts/chart35.xml" ContentType="application/vnd.openxmlformats-officedocument.drawingml.chart+xml"/>
  <Override PartName="/xl/charts/style33.xml" ContentType="application/vnd.ms-office.chartstyle+xml"/>
  <Override PartName="/xl/charts/colors33.xml" ContentType="application/vnd.ms-office.chartcolorstyle+xml"/>
  <Override PartName="/xl/charts/chart36.xml" ContentType="application/vnd.openxmlformats-officedocument.drawingml.chart+xml"/>
  <Override PartName="/xl/charts/style34.xml" ContentType="application/vnd.ms-office.chartstyle+xml"/>
  <Override PartName="/xl/charts/colors3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yip\Desktop\vtap\binder\truck-app\"/>
    </mc:Choice>
  </mc:AlternateContent>
  <xr:revisionPtr revIDLastSave="0" documentId="13_ncr:1_{81CE0526-6D3D-442F-88C9-7E39CCEA8360}" xr6:coauthVersionLast="45" xr6:coauthVersionMax="45" xr10:uidLastSave="{00000000-0000-0000-0000-000000000000}"/>
  <bookViews>
    <workbookView xWindow="-19320" yWindow="-120" windowWidth="19440" windowHeight="10590" tabRatio="926" activeTab="3"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arket Penetration" sheetId="14" r:id="rId11"/>
    <sheet name="Mkt Pen Veh-Mi" sheetId="15"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kWhperBtu">'Fuel Prices'!$M$5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0">'Market Penetration'!$A$3:$O$52</definedName>
    <definedName name="_xlnm.Print_Area" localSheetId="11">'Mkt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9" i="5" l="1"/>
  <c r="H13" i="12" l="1"/>
  <c r="J54" i="4" l="1"/>
  <c r="J29" i="4"/>
  <c r="J23" i="4"/>
  <c r="J19" i="4"/>
  <c r="AG105" i="4"/>
  <c r="AF54" i="4" s="1"/>
  <c r="AG80" i="4"/>
  <c r="AF29" i="4" s="1"/>
  <c r="AG74" i="4"/>
  <c r="AF23" i="4" s="1"/>
  <c r="AG70" i="4"/>
  <c r="AF19" i="4" s="1"/>
  <c r="K69" i="4"/>
  <c r="J18" i="4" s="1"/>
  <c r="K81" i="4"/>
  <c r="K82" i="4" s="1"/>
  <c r="K75" i="4"/>
  <c r="J24" i="4" s="1"/>
  <c r="K68" i="4" l="1"/>
  <c r="K67" i="4" s="1"/>
  <c r="K66" i="4" s="1"/>
  <c r="K65" i="4" s="1"/>
  <c r="K64" i="4" s="1"/>
  <c r="K63" i="4" s="1"/>
  <c r="K62" i="4" s="1"/>
  <c r="AG62" i="4" s="1"/>
  <c r="AG69" i="4"/>
  <c r="AF18" i="4" s="1"/>
  <c r="K71" i="4"/>
  <c r="J20" i="4" s="1"/>
  <c r="AG75" i="4"/>
  <c r="AF24" i="4" s="1"/>
  <c r="AG81" i="4"/>
  <c r="AF30" i="4" s="1"/>
  <c r="J30" i="4"/>
  <c r="AG82" i="4"/>
  <c r="AF31" i="4" s="1"/>
  <c r="K83" i="4"/>
  <c r="J31" i="4"/>
  <c r="K76" i="4"/>
  <c r="K72" i="4"/>
  <c r="AG63" i="4"/>
  <c r="J17" i="4"/>
  <c r="AG68" i="4"/>
  <c r="AF17"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J15" i="4" l="1"/>
  <c r="AG66" i="4"/>
  <c r="AF15" i="4" s="1"/>
  <c r="J14" i="4"/>
  <c r="AG64" i="4"/>
  <c r="AF13" i="4" s="1"/>
  <c r="AG67" i="4"/>
  <c r="AF16" i="4" s="1"/>
  <c r="J16" i="4"/>
  <c r="AG65" i="4"/>
  <c r="AF14" i="4" s="1"/>
  <c r="AG71" i="4"/>
  <c r="AF20" i="4" s="1"/>
  <c r="K77" i="4"/>
  <c r="J25" i="4"/>
  <c r="AG76" i="4"/>
  <c r="AF25" i="4" s="1"/>
  <c r="K84" i="4"/>
  <c r="AG83" i="4"/>
  <c r="AF32" i="4" s="1"/>
  <c r="J32" i="4"/>
  <c r="AG72" i="4"/>
  <c r="AF21" i="4" s="1"/>
  <c r="K73" i="4"/>
  <c r="J21"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AG73" i="4" l="1"/>
  <c r="AF22" i="4" s="1"/>
  <c r="J22" i="4"/>
  <c r="K85" i="4"/>
  <c r="J33" i="4"/>
  <c r="AG84" i="4"/>
  <c r="AF33" i="4" s="1"/>
  <c r="K78" i="4"/>
  <c r="J26" i="4"/>
  <c r="AG77" i="4"/>
  <c r="AF26" i="4" s="1"/>
  <c r="B10" i="9"/>
  <c r="K86" i="4" l="1"/>
  <c r="J34" i="4"/>
  <c r="AG85" i="4"/>
  <c r="AF34" i="4" s="1"/>
  <c r="K79" i="4"/>
  <c r="J27" i="4"/>
  <c r="AG78" i="4"/>
  <c r="AF27" i="4" s="1"/>
  <c r="J28" i="4" l="1"/>
  <c r="AG79" i="4"/>
  <c r="AF28" i="4" s="1"/>
  <c r="K87" i="4"/>
  <c r="J35" i="4"/>
  <c r="AG86" i="4"/>
  <c r="AF35"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BA12" i="4"/>
  <c r="F12" i="4" s="1"/>
  <c r="BA13" i="4"/>
  <c r="F13" i="4" s="1"/>
  <c r="BA14" i="4"/>
  <c r="F14" i="4" s="1"/>
  <c r="BA15" i="4"/>
  <c r="F15" i="4" s="1"/>
  <c r="BA16" i="4"/>
  <c r="F16" i="4" s="1"/>
  <c r="BA17" i="4"/>
  <c r="F17" i="4" s="1"/>
  <c r="BA18" i="4"/>
  <c r="F18" i="4" s="1"/>
  <c r="BA19" i="4"/>
  <c r="F19" i="4" s="1"/>
  <c r="BA20" i="4"/>
  <c r="F20" i="4" s="1"/>
  <c r="BA21" i="4"/>
  <c r="F21" i="4" s="1"/>
  <c r="BA22" i="4"/>
  <c r="F22" i="4" s="1"/>
  <c r="BA23" i="4"/>
  <c r="BA11" i="4"/>
  <c r="F11" i="4" s="1"/>
  <c r="AZ12" i="4"/>
  <c r="D12" i="4" s="1"/>
  <c r="AZ13" i="4"/>
  <c r="D13" i="4" s="1"/>
  <c r="AZ14" i="4"/>
  <c r="D14" i="4" s="1"/>
  <c r="AZ15" i="4"/>
  <c r="D15" i="4" s="1"/>
  <c r="AZ16" i="4"/>
  <c r="D16" i="4" s="1"/>
  <c r="AZ17" i="4"/>
  <c r="D17" i="4" s="1"/>
  <c r="AZ18" i="4"/>
  <c r="D18" i="4" s="1"/>
  <c r="AZ19" i="4"/>
  <c r="D19" i="4" s="1"/>
  <c r="AZ20" i="4"/>
  <c r="D20" i="4" s="1"/>
  <c r="AZ21" i="4"/>
  <c r="D21" i="4" s="1"/>
  <c r="AZ22" i="4"/>
  <c r="D22" i="4" s="1"/>
  <c r="AZ23" i="4"/>
  <c r="AZ11" i="4"/>
  <c r="D11" i="4" s="1"/>
  <c r="AX12" i="4"/>
  <c r="AX13" i="4"/>
  <c r="AX14" i="4"/>
  <c r="AX15" i="4"/>
  <c r="AX16" i="4"/>
  <c r="AX17" i="4"/>
  <c r="AX18" i="4"/>
  <c r="AX19" i="4"/>
  <c r="AX20" i="4"/>
  <c r="AX21" i="4"/>
  <c r="AX22" i="4"/>
  <c r="AX23" i="4"/>
  <c r="AX11" i="4"/>
  <c r="AY12" i="4"/>
  <c r="AY13" i="4"/>
  <c r="AY14" i="4"/>
  <c r="AY15" i="4"/>
  <c r="AY16" i="4"/>
  <c r="AY17" i="4"/>
  <c r="AY18" i="4"/>
  <c r="AY19" i="4"/>
  <c r="AY20" i="4"/>
  <c r="AY21" i="4"/>
  <c r="AY22" i="4"/>
  <c r="AY23" i="4"/>
  <c r="AY11" i="4"/>
  <c r="K88" i="4" l="1"/>
  <c r="J36" i="4"/>
  <c r="AG87" i="4"/>
  <c r="AF36" i="4" s="1"/>
  <c r="AE21" i="22"/>
  <c r="AD21" i="22"/>
  <c r="AC21" i="22"/>
  <c r="AB21" i="22"/>
  <c r="AA21" i="22"/>
  <c r="AE21" i="12"/>
  <c r="AD21" i="12"/>
  <c r="AC21" i="12"/>
  <c r="AB21" i="12"/>
  <c r="AA21" i="12"/>
  <c r="K89" i="4" l="1"/>
  <c r="AG88" i="4"/>
  <c r="AF37" i="4" s="1"/>
  <c r="J37" i="4"/>
  <c r="AO55" i="4"/>
  <c r="AO56" i="4"/>
  <c r="AO57" i="4"/>
  <c r="AO58" i="4"/>
  <c r="AL24" i="9"/>
  <c r="AM24" i="9" s="1"/>
  <c r="AN24" i="9" s="1"/>
  <c r="AN23" i="9" s="1"/>
  <c r="AL25" i="9"/>
  <c r="AM25" i="9" s="1"/>
  <c r="AN25" i="9" s="1"/>
  <c r="U40" i="4" s="1"/>
  <c r="I91" i="4" s="1"/>
  <c r="AL26" i="9"/>
  <c r="AM26" i="9" s="1"/>
  <c r="AN26" i="9" s="1"/>
  <c r="U41" i="4" s="1"/>
  <c r="I92" i="4" s="1"/>
  <c r="AL27" i="9"/>
  <c r="AM27" i="9" s="1"/>
  <c r="AN27" i="9" s="1"/>
  <c r="U42" i="4" s="1"/>
  <c r="I93" i="4" s="1"/>
  <c r="AL28" i="9"/>
  <c r="AM28" i="9" s="1"/>
  <c r="AN28" i="9" s="1"/>
  <c r="U43" i="4" s="1"/>
  <c r="I94" i="4" s="1"/>
  <c r="AL29" i="9"/>
  <c r="AM29" i="9" s="1"/>
  <c r="AN29" i="9" s="1"/>
  <c r="AL30" i="9"/>
  <c r="AM30" i="9" s="1"/>
  <c r="AN30" i="9" s="1"/>
  <c r="AL31" i="9"/>
  <c r="AM31" i="9" s="1"/>
  <c r="AN31" i="9" s="1"/>
  <c r="AL32" i="9"/>
  <c r="AM32" i="9" s="1"/>
  <c r="AN32" i="9" s="1"/>
  <c r="AL33" i="9"/>
  <c r="AM33" i="9" s="1"/>
  <c r="AN33" i="9" s="1"/>
  <c r="U48" i="4" s="1"/>
  <c r="I99" i="4" s="1"/>
  <c r="AL34" i="9"/>
  <c r="AM34" i="9" s="1"/>
  <c r="AN34" i="9" s="1"/>
  <c r="U49" i="4" s="1"/>
  <c r="I100" i="4" s="1"/>
  <c r="AL35" i="9"/>
  <c r="AM35" i="9" s="1"/>
  <c r="AN35" i="9" s="1"/>
  <c r="U50" i="4" s="1"/>
  <c r="I101" i="4" s="1"/>
  <c r="AL36" i="9"/>
  <c r="AM36" i="9" s="1"/>
  <c r="AN36" i="9" s="1"/>
  <c r="U51" i="4" s="1"/>
  <c r="I102" i="4" s="1"/>
  <c r="AL37" i="9"/>
  <c r="AM37" i="9" s="1"/>
  <c r="AN37" i="9" s="1"/>
  <c r="AL38" i="9"/>
  <c r="AM38" i="9" s="1"/>
  <c r="AN38" i="9" s="1"/>
  <c r="U53" i="4" s="1"/>
  <c r="I104" i="4" s="1"/>
  <c r="AL39" i="9"/>
  <c r="AM39" i="9" s="1"/>
  <c r="AN39" i="9" s="1"/>
  <c r="AN22" i="9" l="1"/>
  <c r="U38" i="4"/>
  <c r="I89" i="4" s="1"/>
  <c r="K90" i="4"/>
  <c r="AG89" i="4"/>
  <c r="AF38" i="4" s="1"/>
  <c r="J38" i="4"/>
  <c r="S50" i="4"/>
  <c r="AO50" i="4"/>
  <c r="S42" i="4"/>
  <c r="AO42" i="4"/>
  <c r="S41" i="4"/>
  <c r="AO41" i="4"/>
  <c r="S48" i="4"/>
  <c r="AO48" i="4"/>
  <c r="S40" i="4"/>
  <c r="AO40" i="4"/>
  <c r="S49" i="4"/>
  <c r="AO49" i="4"/>
  <c r="S53" i="4"/>
  <c r="AO53" i="4"/>
  <c r="S51" i="4"/>
  <c r="AO51" i="4"/>
  <c r="S43" i="4"/>
  <c r="AO43" i="4"/>
  <c r="U45" i="4"/>
  <c r="I96" i="4" s="1"/>
  <c r="U44" i="4"/>
  <c r="I95" i="4" s="1"/>
  <c r="U47" i="4"/>
  <c r="I98" i="4" s="1"/>
  <c r="U54" i="4"/>
  <c r="I105" i="4" s="1"/>
  <c r="U46" i="4"/>
  <c r="I97" i="4" s="1"/>
  <c r="U52" i="4"/>
  <c r="I103" i="4" s="1"/>
  <c r="U39" i="4"/>
  <c r="I90" i="4" s="1"/>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I88" i="4" s="1"/>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I87" i="4" s="1"/>
  <c r="K92" i="4"/>
  <c r="AG91" i="4"/>
  <c r="AF40" i="4" s="1"/>
  <c r="J40" i="4"/>
  <c r="S38" i="4"/>
  <c r="AO38" i="4"/>
  <c r="Y31" i="23"/>
  <c r="G21" i="1"/>
  <c r="K93" i="4" l="1"/>
  <c r="J41" i="4"/>
  <c r="AG92" i="4"/>
  <c r="AF41" i="4" s="1"/>
  <c r="AN19" i="9"/>
  <c r="U35" i="4"/>
  <c r="I86" i="4" s="1"/>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I85" i="4" s="1"/>
  <c r="K94" i="4"/>
  <c r="J42" i="4"/>
  <c r="AG93" i="4"/>
  <c r="AF42" i="4" s="1"/>
  <c r="S36" i="4"/>
  <c r="AO36" i="4"/>
  <c r="Y33" i="23"/>
  <c r="P2" i="4"/>
  <c r="AP19" i="4" s="1"/>
  <c r="K95" i="4" l="1"/>
  <c r="J43" i="4"/>
  <c r="T43" i="4" s="1"/>
  <c r="AG94" i="4"/>
  <c r="AF43" i="4" s="1"/>
  <c r="AN17" i="9"/>
  <c r="U33" i="4"/>
  <c r="I84" i="4" s="1"/>
  <c r="S35" i="4"/>
  <c r="AO35" i="4"/>
  <c r="Y34" i="23"/>
  <c r="T30" i="4"/>
  <c r="AP33" i="4"/>
  <c r="T37" i="4"/>
  <c r="T21" i="4"/>
  <c r="T20" i="4"/>
  <c r="T39" i="4"/>
  <c r="T31" i="4"/>
  <c r="T23" i="4"/>
  <c r="AP42" i="4"/>
  <c r="AP34" i="4"/>
  <c r="AP26" i="4"/>
  <c r="T38" i="4"/>
  <c r="AP24" i="4"/>
  <c r="T36" i="4"/>
  <c r="T28" i="4"/>
  <c r="AP20" i="4"/>
  <c r="AP39" i="4"/>
  <c r="AP31" i="4"/>
  <c r="AP23" i="4"/>
  <c r="T22" i="4"/>
  <c r="AP25" i="4"/>
  <c r="T29" i="4"/>
  <c r="AP32" i="4"/>
  <c r="T35" i="4"/>
  <c r="T27" i="4"/>
  <c r="AP54" i="4"/>
  <c r="AP38" i="4"/>
  <c r="AP30" i="4"/>
  <c r="AP22" i="4"/>
  <c r="T54" i="4"/>
  <c r="T42" i="4"/>
  <c r="T34" i="4"/>
  <c r="T26" i="4"/>
  <c r="AP37" i="4"/>
  <c r="AP29" i="4"/>
  <c r="AP21" i="4"/>
  <c r="AP41" i="4"/>
  <c r="AP40" i="4"/>
  <c r="T41" i="4"/>
  <c r="T33" i="4"/>
  <c r="T25" i="4"/>
  <c r="AP36" i="4"/>
  <c r="AP28" i="4"/>
  <c r="T19" i="4"/>
  <c r="T40" i="4"/>
  <c r="T32" i="4"/>
  <c r="T24" i="4"/>
  <c r="AP43"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I83" i="4" s="1"/>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AG96" i="4"/>
  <c r="AF45" i="4" s="1"/>
  <c r="AP45" i="4" s="1"/>
  <c r="J45" i="4"/>
  <c r="T45" i="4" s="1"/>
  <c r="AN15" i="9"/>
  <c r="U31" i="4"/>
  <c r="I82" i="4" s="1"/>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I81" i="4" s="1"/>
  <c r="K98" i="4"/>
  <c r="AG97" i="4"/>
  <c r="AF46" i="4" s="1"/>
  <c r="AP46" i="4" s="1"/>
  <c r="J46" i="4"/>
  <c r="T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I80" i="4" s="1"/>
  <c r="S31" i="4"/>
  <c r="AO31" i="4"/>
  <c r="Y38" i="23"/>
  <c r="J8" i="5"/>
  <c r="J45" i="5"/>
  <c r="J47" i="5"/>
  <c r="J48" i="5"/>
  <c r="J7" i="5"/>
  <c r="Y16" i="11"/>
  <c r="Y17" i="11" s="1"/>
  <c r="AN12" i="9" l="1"/>
  <c r="U28" i="4"/>
  <c r="I79" i="4" s="1"/>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J49" i="4"/>
  <c r="T49" i="4" s="1"/>
  <c r="AG100" i="4"/>
  <c r="AF49" i="4" s="1"/>
  <c r="AP49" i="4" s="1"/>
  <c r="AN11" i="9"/>
  <c r="U27" i="4"/>
  <c r="I78" i="4" s="1"/>
  <c r="S29" i="4"/>
  <c r="AO29" i="4"/>
  <c r="Y40" i="23"/>
  <c r="AN10" i="9" l="1"/>
  <c r="U26" i="4"/>
  <c r="I77" i="4" s="1"/>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5" i="4"/>
  <c r="I76" i="4" s="1"/>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3" i="4" l="1"/>
  <c r="I74" i="4" s="1"/>
  <c r="I75" i="4"/>
  <c r="K104" i="4"/>
  <c r="J52" i="4"/>
  <c r="T52" i="4" s="1"/>
  <c r="AG103" i="4"/>
  <c r="AF52" i="4" s="1"/>
  <c r="AP52" i="4" s="1"/>
  <c r="S26" i="4"/>
  <c r="AO26" i="4"/>
  <c r="AD24" i="23"/>
  <c r="AD25" i="23"/>
  <c r="AD26" i="23"/>
  <c r="AD23" i="23"/>
  <c r="Y43" i="23"/>
  <c r="Q34" i="23"/>
  <c r="Q33" i="23"/>
  <c r="Q32" i="23"/>
  <c r="Q31" i="23"/>
  <c r="Q30" i="23"/>
  <c r="Q29" i="23"/>
  <c r="Q28" i="23"/>
  <c r="Q27" i="23"/>
  <c r="I109" i="4" l="1"/>
  <c r="I108" i="4"/>
  <c r="I107" i="4"/>
  <c r="S23" i="4"/>
  <c r="AO23" i="4"/>
  <c r="U22" i="4"/>
  <c r="I73" i="4" s="1"/>
  <c r="AG104" i="4"/>
  <c r="AF53" i="4" s="1"/>
  <c r="AP53" i="4" s="1"/>
  <c r="J53" i="4"/>
  <c r="T53" i="4" s="1"/>
  <c r="S25" i="4"/>
  <c r="AO25" i="4"/>
  <c r="AD27" i="23"/>
  <c r="AD28" i="23"/>
  <c r="Y44" i="23"/>
  <c r="W69" i="11"/>
  <c r="S22" i="4" l="1"/>
  <c r="AO22" i="4"/>
  <c r="U21" i="4"/>
  <c r="I72" i="4" s="1"/>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AO21" i="4" l="1"/>
  <c r="U20" i="4"/>
  <c r="I71" i="4" s="1"/>
  <c r="S21" i="4"/>
  <c r="U19" i="4"/>
  <c r="I70" i="4" s="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I69" i="4" s="1"/>
  <c r="S19" i="4"/>
  <c r="AO19" i="4"/>
  <c r="Y47" i="23"/>
  <c r="Z6" i="4"/>
  <c r="Z12" i="4" s="1"/>
  <c r="AJ12" i="4" s="1"/>
  <c r="Y6" i="4"/>
  <c r="X6" i="4"/>
  <c r="AB6" i="4"/>
  <c r="AD6" i="4"/>
  <c r="AD14" i="4" s="1"/>
  <c r="AN14" i="4" s="1"/>
  <c r="U17" i="4" l="1"/>
  <c r="I68" i="4" s="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I67" i="4" s="1"/>
  <c r="S17" i="4"/>
  <c r="AO17" i="4"/>
  <c r="Y49" i="23"/>
  <c r="L20" i="27"/>
  <c r="O20" i="27"/>
  <c r="M20" i="27"/>
  <c r="H11" i="27"/>
  <c r="R20" i="27"/>
  <c r="K20" i="27"/>
  <c r="B11" i="27"/>
  <c r="Q20" i="27"/>
  <c r="N11" i="27"/>
  <c r="S20" i="27"/>
  <c r="I20" i="27"/>
  <c r="J20" i="27"/>
  <c r="J15" i="11"/>
  <c r="J14" i="11"/>
  <c r="J13" i="11"/>
  <c r="J12" i="11"/>
  <c r="U15" i="4" l="1"/>
  <c r="I66" i="4" s="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I65" i="4" s="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I64" i="4" s="1"/>
  <c r="S14" i="4"/>
  <c r="AO14" i="4"/>
  <c r="Y52" i="23"/>
  <c r="J17" i="27"/>
  <c r="M17" i="27"/>
  <c r="R17" i="27"/>
  <c r="S17" i="27"/>
  <c r="I17" i="27"/>
  <c r="P16" i="27"/>
  <c r="O17" i="27"/>
  <c r="Q17" i="27"/>
  <c r="K17" i="27"/>
  <c r="L17" i="27"/>
  <c r="K56" i="24"/>
  <c r="K55" i="24"/>
  <c r="U12" i="4" l="1"/>
  <c r="I63" i="4" s="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I62" i="4" s="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290" i="21" a="1"/>
  <c r="AB290"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C79" i="21" a="1"/>
  <c r="AC79" i="21" s="1"/>
  <c r="AC90" i="21" a="1"/>
  <c r="AC90" i="21" s="1"/>
  <c r="AC101" i="21" a="1"/>
  <c r="AC101" i="21" s="1"/>
  <c r="AC111" i="21" a="1"/>
  <c r="AC111" i="21" s="1"/>
  <c r="AC135" i="21" a="1"/>
  <c r="AC135" i="21" s="1"/>
  <c r="AC167" i="21" a="1"/>
  <c r="AC167" i="21" s="1"/>
  <c r="AB239" i="21" a="1"/>
  <c r="AB239" i="21" s="1"/>
  <c r="AB94" i="13" a="1"/>
  <c r="AB94" i="13" s="1"/>
  <c r="AB104" i="13" a="1"/>
  <c r="AB104" i="13" s="1"/>
  <c r="AB115" i="13" a="1"/>
  <c r="AB115" i="13" s="1"/>
  <c r="AB83" i="13" a="1"/>
  <c r="AB83" i="13" s="1"/>
  <c r="AB286" i="13" a="1"/>
  <c r="AB286" i="13" s="1"/>
  <c r="AB249" i="13" a="1"/>
  <c r="AB249" i="13" s="1"/>
  <c r="AB290" i="13" a="1"/>
  <c r="AB290" i="13" s="1"/>
  <c r="AB84" i="13" a="1"/>
  <c r="AB84" i="13" s="1"/>
  <c r="AB95" i="13" a="1"/>
  <c r="AB95" i="13" s="1"/>
  <c r="AB106" i="13" a="1"/>
  <c r="AB106" i="13" s="1"/>
  <c r="AB116" i="13" a="1"/>
  <c r="AB116" i="13" s="1"/>
  <c r="AB245" i="13" a="1"/>
  <c r="AB245" i="13" s="1"/>
  <c r="AB180" i="13" a="1"/>
  <c r="AB180" i="13" s="1"/>
  <c r="AB253" i="13" a="1"/>
  <c r="AB253" i="13" s="1"/>
  <c r="AB294" i="13" a="1"/>
  <c r="AB294"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B237" i="21" a="1"/>
  <c r="AB237" i="21" s="1"/>
  <c r="AB242" i="21" a="1"/>
  <c r="AB242" i="21" s="1"/>
  <c r="AC237" i="21" a="1"/>
  <c r="AC237" i="21" s="1"/>
  <c r="AB243" i="21" a="1"/>
  <c r="AB243" i="21" s="1"/>
  <c r="AB233" i="21" a="1"/>
  <c r="AB233" i="21" s="1"/>
  <c r="AB238" i="21" a="1"/>
  <c r="AB238" i="21" s="1"/>
  <c r="AC243" i="21" a="1"/>
  <c r="AC243" i="21" s="1"/>
  <c r="AB296" i="21" a="1"/>
  <c r="AB296" i="21" s="1"/>
  <c r="AB298" i="21" a="1"/>
  <c r="AB298" i="21" s="1"/>
  <c r="AB234" i="21" a="1"/>
  <c r="AB234" i="21" s="1"/>
  <c r="AC239" i="21" a="1"/>
  <c r="AC239" i="21" s="1"/>
  <c r="AB245" i="21" a="1"/>
  <c r="AB245" i="21" s="1"/>
  <c r="AB300" i="21" a="1"/>
  <c r="AB300" i="21" s="1"/>
  <c r="AB235" i="21" a="1"/>
  <c r="AB235" i="21" s="1"/>
  <c r="AB240" i="21" a="1"/>
  <c r="AB240" i="21" s="1"/>
  <c r="AC245" i="21" a="1"/>
  <c r="AC245" i="21" s="1"/>
  <c r="AB286" i="21" a="1"/>
  <c r="AB286" i="21" s="1"/>
  <c r="AB302" i="21" a="1"/>
  <c r="AB302" i="21" s="1"/>
  <c r="AC235" i="21" a="1"/>
  <c r="AC235" i="21" s="1"/>
  <c r="AB241" i="21" a="1"/>
  <c r="AB241" i="21" s="1"/>
  <c r="AB246" i="21" a="1"/>
  <c r="AB246" i="21" s="1"/>
  <c r="AB288" i="21" a="1"/>
  <c r="AB288" i="21" s="1"/>
  <c r="AB304" i="21" a="1"/>
  <c r="AB304"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U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9" i="21" a="1"/>
  <c r="AA44" i="21" a="1"/>
  <c r="AA45" i="21" a="1"/>
  <c r="AA55" i="21" a="1"/>
  <c r="AA54" i="21" a="1"/>
  <c r="AA52" i="21" a="1"/>
  <c r="AA46" i="21" a="1"/>
  <c r="AA53" i="21" a="1"/>
  <c r="AA40" i="21" a="1"/>
  <c r="AA41" i="21" a="1"/>
  <c r="AA43" i="21" a="1"/>
  <c r="AA39" i="21" a="1"/>
  <c r="AA56" i="21" a="1"/>
  <c r="AA42" i="21" a="1"/>
  <c r="AA57" i="21" a="1"/>
  <c r="AA50" i="21" a="1"/>
  <c r="AA48" i="21" a="1"/>
  <c r="AA51" i="21" a="1"/>
  <c r="AA47" i="21" a="1"/>
  <c r="AA38" i="21" a="1"/>
  <c r="AA42" i="11"/>
  <c r="AA46" i="11"/>
  <c r="AA43" i="11"/>
  <c r="AA44" i="11"/>
  <c r="AA48" i="11"/>
  <c r="AA39" i="11"/>
  <c r="AA50" i="11"/>
  <c r="AA47" i="11"/>
  <c r="AA38" i="11"/>
  <c r="AA40" i="11"/>
  <c r="AA41" i="11"/>
  <c r="AA45" i="11"/>
  <c r="AA49" i="11"/>
  <c r="AB34" i="21" a="1"/>
  <c r="AC27" i="11"/>
  <c r="Y51" i="21" a="1"/>
  <c r="Z47" i="21" a="1"/>
  <c r="AB26" i="11"/>
  <c r="Z32" i="21" a="1"/>
  <c r="AC56" i="11"/>
  <c r="AC45" i="11"/>
  <c r="AC34" i="21" a="1"/>
  <c r="Z24" i="21" a="1"/>
  <c r="AC32" i="11"/>
  <c r="Z35" i="21" a="1"/>
  <c r="Z38" i="21" a="1"/>
  <c r="AC53" i="11"/>
  <c r="AC54" i="11"/>
  <c r="AB35" i="11"/>
  <c r="AB51" i="21" a="1"/>
  <c r="AC41" i="11"/>
  <c r="Y24" i="21" a="1"/>
  <c r="AB31" i="11"/>
  <c r="Z50" i="21" a="1"/>
  <c r="Z34" i="21" a="1"/>
  <c r="AC33" i="11"/>
  <c r="Y32" i="21" a="1"/>
  <c r="AC26" i="21" a="1"/>
  <c r="AB36" i="11"/>
  <c r="AC28" i="11"/>
  <c r="Y25" i="21" a="1"/>
  <c r="AC57" i="11"/>
  <c r="AC44" i="11"/>
  <c r="AB25" i="11"/>
  <c r="Y49" i="21" a="1"/>
  <c r="AB46" i="21" a="1"/>
  <c r="Z33" i="21" a="1"/>
  <c r="AC48" i="21" a="1"/>
  <c r="AB39" i="11"/>
  <c r="Y44" i="21" a="1"/>
  <c r="AC28" i="21" a="1"/>
  <c r="AC27" i="21" a="1"/>
  <c r="AC30" i="11"/>
  <c r="Z28" i="21" a="1"/>
  <c r="AC46" i="21" a="1"/>
  <c r="Y29" i="21" a="1"/>
  <c r="Z53" i="21" a="1"/>
  <c r="Y55" i="21" a="1"/>
  <c r="AB33" i="21" a="1"/>
  <c r="AC25" i="21" a="1"/>
  <c r="Z43" i="21" a="1"/>
  <c r="Z54" i="21" a="1"/>
  <c r="AC43" i="11"/>
  <c r="Z30" i="21" a="1"/>
  <c r="AC41" i="21" a="1"/>
  <c r="AB41" i="21" a="1"/>
  <c r="AC55" i="11"/>
  <c r="Y42" i="21" a="1"/>
  <c r="AC24" i="21" a="1"/>
  <c r="AB39" i="21" a="1"/>
  <c r="AC50" i="21" a="1"/>
  <c r="Z25" i="21" a="1"/>
  <c r="Y43" i="21" a="1"/>
  <c r="AB27" i="11"/>
  <c r="AC52" i="21" a="1"/>
  <c r="Y52" i="21" a="1"/>
  <c r="AB34" i="11"/>
  <c r="Y53" i="21" a="1"/>
  <c r="AB35" i="21" a="1"/>
  <c r="Z27" i="21" a="1"/>
  <c r="Z31" i="21" a="1"/>
  <c r="AB40" i="21" a="1"/>
  <c r="Z45" i="21" a="1"/>
  <c r="AC57" i="21" a="1"/>
  <c r="Y30" i="21" a="1"/>
  <c r="AB32" i="21" a="1"/>
  <c r="AC33" i="21" a="1"/>
  <c r="AB25" i="21" a="1"/>
  <c r="Y35" i="21" a="1"/>
  <c r="Y34" i="21" a="1"/>
  <c r="AB47" i="21" a="1"/>
  <c r="AC37" i="21" a="1"/>
  <c r="Z57" i="21" a="1"/>
  <c r="AB33" i="11"/>
  <c r="Y48" i="21" a="1"/>
  <c r="AC35" i="11"/>
  <c r="AC48" i="11"/>
  <c r="AC45" i="21" a="1"/>
  <c r="AC36" i="11"/>
  <c r="AB38" i="11"/>
  <c r="AC49" i="21" a="1"/>
  <c r="AB50" i="21" a="1"/>
  <c r="Y46" i="21" a="1"/>
  <c r="Y38" i="21" a="1"/>
  <c r="AC56" i="21" a="1"/>
  <c r="AC52" i="11"/>
  <c r="AC39" i="11"/>
  <c r="Y57" i="21" a="1"/>
  <c r="AC50" i="11"/>
  <c r="Z46" i="21" a="1"/>
  <c r="Z36" i="21" a="1"/>
  <c r="AC42" i="21" a="1"/>
  <c r="Y27" i="21" a="1"/>
  <c r="AB44" i="21" a="1"/>
  <c r="AB30" i="21" a="1"/>
  <c r="AB38" i="21" a="1"/>
  <c r="Y33" i="21" a="1"/>
  <c r="AC49" i="11"/>
  <c r="AB37" i="21" a="1"/>
  <c r="Y39" i="21" a="1"/>
  <c r="Z52" i="21" a="1"/>
  <c r="Y37" i="21" a="1"/>
  <c r="AC40" i="21" a="1"/>
  <c r="AC51" i="21" a="1"/>
  <c r="AB29" i="11"/>
  <c r="AC30" i="21" a="1"/>
  <c r="Z55" i="21" a="1"/>
  <c r="Z51" i="21" a="1"/>
  <c r="AC53" i="21" a="1"/>
  <c r="Z48" i="21" a="1"/>
  <c r="AB32" i="11"/>
  <c r="AC55" i="21" a="1"/>
  <c r="Y40" i="21" a="1"/>
  <c r="AC46" i="11"/>
  <c r="AB29" i="21" a="1"/>
  <c r="Y28" i="21" a="1"/>
  <c r="Z56" i="21" a="1"/>
  <c r="AB28" i="11"/>
  <c r="AC34" i="11"/>
  <c r="AC31" i="11"/>
  <c r="Z42" i="21" a="1"/>
  <c r="AB43" i="21" a="1"/>
  <c r="AC38" i="21" a="1"/>
  <c r="AB27" i="21" a="1"/>
  <c r="AC39" i="21" a="1"/>
  <c r="AC24" i="11"/>
  <c r="AC29" i="21" a="1"/>
  <c r="AC40" i="11"/>
  <c r="AB49" i="21" a="1"/>
  <c r="AC26" i="11"/>
  <c r="Z41" i="21" a="1"/>
  <c r="AC44" i="21" a="1"/>
  <c r="AB30" i="11"/>
  <c r="Y50" i="21" a="1"/>
  <c r="AB28" i="21" a="1"/>
  <c r="Y31" i="21" a="1"/>
  <c r="Z49" i="21" a="1"/>
  <c r="Z44" i="21" a="1"/>
  <c r="AC43" i="21" a="1"/>
  <c r="Y26" i="21" a="1"/>
  <c r="Z37" i="21" a="1"/>
  <c r="AC47" i="11"/>
  <c r="AC25" i="11"/>
  <c r="AB31" i="21" a="1"/>
  <c r="Y41" i="21" a="1"/>
  <c r="Y36" i="21" a="1"/>
  <c r="AB45" i="21" a="1"/>
  <c r="AC32" i="21" a="1"/>
  <c r="AC36" i="21" a="1"/>
  <c r="AC31" i="21" a="1"/>
  <c r="Y45" i="21" a="1"/>
  <c r="AB26" i="21" a="1"/>
  <c r="AB37" i="11"/>
  <c r="Y56" i="21" a="1"/>
  <c r="AB24" i="11"/>
  <c r="AC54" i="21" a="1"/>
  <c r="Z40" i="21" a="1"/>
  <c r="AB24" i="21" a="1"/>
  <c r="Z39" i="21" a="1"/>
  <c r="Z26" i="21" a="1"/>
  <c r="AB42" i="21" a="1"/>
  <c r="AC29" i="11"/>
  <c r="AC38" i="11"/>
  <c r="AB36" i="21" a="1"/>
  <c r="AC37" i="11"/>
  <c r="Z29" i="21" a="1"/>
  <c r="AC42" i="11"/>
  <c r="AC51" i="11"/>
  <c r="AB48" i="21" a="1"/>
  <c r="Y47" i="21" a="1"/>
  <c r="AC47" i="21" a="1"/>
  <c r="AC35" i="21" a="1"/>
  <c r="Y54" i="21" a="1"/>
  <c r="Z32" i="21" l="1"/>
  <c r="AT32" i="21" s="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Z59" i="21" a="1"/>
  <c r="Z58" i="21" a="1"/>
  <c r="AC58" i="21" a="1"/>
  <c r="AB52" i="21" a="1"/>
  <c r="Y58" i="21" a="1"/>
  <c r="AC59" i="21" a="1"/>
  <c r="AC58" i="11"/>
  <c r="AC59" i="11"/>
  <c r="Y59" i="21" a="1"/>
  <c r="AA58" i="21" l="1"/>
  <c r="AA59" i="21"/>
  <c r="Y58" i="21"/>
  <c r="Y59" i="21"/>
  <c r="AC58" i="21"/>
  <c r="Z58" i="21"/>
  <c r="Z59" i="21"/>
  <c r="AB52" i="21"/>
  <c r="AC59" i="21"/>
  <c r="V51" i="11"/>
  <c r="AF51"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C60" i="11"/>
  <c r="AB40" i="11"/>
  <c r="Z60" i="21" a="1"/>
  <c r="AB41" i="11"/>
  <c r="Y60" i="21" a="1"/>
  <c r="AC60" i="21" a="1"/>
  <c r="AB53" i="21" a="1"/>
  <c r="AA60" i="21" l="1"/>
  <c r="AC60" i="21"/>
  <c r="Y60" i="21"/>
  <c r="Z60" i="21"/>
  <c r="AB53" i="21"/>
  <c r="AU51" i="11"/>
  <c r="AU52" i="11"/>
  <c r="AV4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C61" i="11"/>
  <c r="Y61" i="21" a="1"/>
  <c r="AB54" i="21" a="1"/>
  <c r="AB42" i="11"/>
  <c r="AC61" i="21" a="1"/>
  <c r="Z61" i="21" a="1"/>
  <c r="AA61" i="21" l="1"/>
  <c r="AC61" i="21"/>
  <c r="Y61" i="21"/>
  <c r="AB54" i="21"/>
  <c r="Z61" i="21"/>
  <c r="AU53" i="11"/>
  <c r="AV42"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B43" i="11"/>
  <c r="Y62" i="21" a="1"/>
  <c r="AB55" i="21" a="1"/>
  <c r="Z62" i="21" a="1"/>
  <c r="AC62" i="21" a="1"/>
  <c r="AC62" i="11"/>
  <c r="AA62" i="21" l="1"/>
  <c r="AB55" i="21"/>
  <c r="Z62" i="21"/>
  <c r="AC62" i="21"/>
  <c r="Y62" i="21"/>
  <c r="AU54" i="11"/>
  <c r="AV43"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C63" i="11"/>
  <c r="Y63" i="21" a="1"/>
  <c r="Z63" i="21" a="1"/>
  <c r="AC63" i="21" a="1"/>
  <c r="AB44" i="11"/>
  <c r="AB56" i="21" a="1"/>
  <c r="AA63" i="21" l="1"/>
  <c r="Z63" i="21"/>
  <c r="AC63" i="21"/>
  <c r="AB56" i="21"/>
  <c r="Y63" i="21"/>
  <c r="AU55" i="11"/>
  <c r="AV44"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C64" i="11"/>
  <c r="Z64" i="21" a="1"/>
  <c r="AC64" i="21" a="1"/>
  <c r="AB45" i="11"/>
  <c r="Y64" i="21" a="1"/>
  <c r="AB57" i="21" a="1"/>
  <c r="AA64" i="21" l="1"/>
  <c r="Z64" i="21"/>
  <c r="Y64" i="21"/>
  <c r="AB57" i="21"/>
  <c r="AC64" i="21"/>
  <c r="AU56"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Y65" i="21" a="1"/>
  <c r="AC65" i="21" a="1"/>
  <c r="AB58" i="21" a="1"/>
  <c r="AC65" i="11"/>
  <c r="AB46" i="11"/>
  <c r="Z65" i="21" a="1"/>
  <c r="AA65" i="21" l="1"/>
  <c r="AB58" i="21"/>
  <c r="Y65" i="21"/>
  <c r="Z65" i="21"/>
  <c r="AC65" i="21"/>
  <c r="AU57"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7" i="21" a="1"/>
  <c r="AA66" i="21" a="1"/>
  <c r="AA58" i="11"/>
  <c r="AC67" i="11"/>
  <c r="AC66" i="11"/>
  <c r="Y66" i="21" a="1"/>
  <c r="AC66" i="21" a="1"/>
  <c r="Z66" i="21" a="1"/>
  <c r="Y67" i="21" a="1"/>
  <c r="Z67" i="21" a="1"/>
  <c r="AC67" i="21" a="1"/>
  <c r="AB59" i="21" a="1"/>
  <c r="AB47" i="11"/>
  <c r="AA67" i="21" l="1"/>
  <c r="AA66" i="21"/>
  <c r="Z66" i="21"/>
  <c r="Z67" i="21"/>
  <c r="AC67" i="21"/>
  <c r="AC66" i="21"/>
  <c r="Y67" i="21"/>
  <c r="AB59" i="21"/>
  <c r="AV59" i="21" s="1"/>
  <c r="BA59" i="21" s="1"/>
  <c r="Y66" i="21"/>
  <c r="AU58"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48" i="11"/>
  <c r="AB60" i="21" a="1"/>
  <c r="H50" i="5" l="1"/>
  <c r="H51" i="5" s="1"/>
  <c r="AB60" i="2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2" i="13"/>
  <c r="AA62" i="13"/>
  <c r="AA58" i="13"/>
  <c r="AA39" i="13"/>
  <c r="AA43" i="13"/>
  <c r="AA66" i="13"/>
  <c r="AA57" i="13"/>
  <c r="AA67" i="13"/>
  <c r="AA65" i="13"/>
  <c r="AA56" i="13"/>
  <c r="AA64" i="13"/>
  <c r="AA47" i="13"/>
  <c r="AA44" i="13"/>
  <c r="AA46" i="13"/>
  <c r="AA63" i="13"/>
  <c r="AA48" i="13"/>
  <c r="AA53" i="13"/>
  <c r="AA41" i="13"/>
  <c r="AA59" i="13"/>
  <c r="AA40" i="13"/>
  <c r="AA60" i="13"/>
  <c r="AA61" i="13"/>
  <c r="AA54" i="13"/>
  <c r="AA49" i="13"/>
  <c r="AA42" i="13"/>
  <c r="AA55" i="13"/>
  <c r="AA38" i="13"/>
  <c r="AA51" i="13"/>
  <c r="AA45" i="13"/>
  <c r="AA50" i="13"/>
  <c r="AA60" i="11"/>
  <c r="AB36" i="13"/>
  <c r="Y38" i="13"/>
  <c r="Z28" i="13"/>
  <c r="Z29" i="13"/>
  <c r="Z49" i="13"/>
  <c r="AC25" i="13"/>
  <c r="AC34" i="13"/>
  <c r="Y55" i="13"/>
  <c r="AC42" i="13"/>
  <c r="Z45" i="13"/>
  <c r="AB27" i="13"/>
  <c r="Y58" i="13"/>
  <c r="Y28" i="13"/>
  <c r="AC31" i="13"/>
  <c r="Y65" i="13"/>
  <c r="Y45" i="13"/>
  <c r="AB31" i="13"/>
  <c r="Z27" i="13"/>
  <c r="Y43" i="13"/>
  <c r="AB40" i="13"/>
  <c r="Z56" i="13"/>
  <c r="AB30" i="13"/>
  <c r="Z65" i="13"/>
  <c r="AC61" i="13"/>
  <c r="Z35" i="13"/>
  <c r="AC39" i="13"/>
  <c r="AC44" i="13"/>
  <c r="AC54" i="13"/>
  <c r="Z26" i="13"/>
  <c r="AC65" i="13"/>
  <c r="AC63" i="13"/>
  <c r="Z30" i="13"/>
  <c r="AC47" i="13"/>
  <c r="Y30" i="13"/>
  <c r="AC29" i="13"/>
  <c r="AC57" i="13"/>
  <c r="Y51" i="13"/>
  <c r="AC32" i="13"/>
  <c r="Z52" i="13"/>
  <c r="Y37" i="13"/>
  <c r="Z53" i="13"/>
  <c r="AC62" i="13"/>
  <c r="Y57" i="13"/>
  <c r="Y42" i="13"/>
  <c r="Y46" i="13"/>
  <c r="AB49" i="11"/>
  <c r="AC27" i="13"/>
  <c r="AC52" i="13"/>
  <c r="Z67" i="13"/>
  <c r="Z62" i="13"/>
  <c r="Z48" i="13"/>
  <c r="Y25" i="13"/>
  <c r="AB28" i="13"/>
  <c r="Z46" i="13"/>
  <c r="Z40" i="13"/>
  <c r="Z32" i="13"/>
  <c r="Y47" i="13"/>
  <c r="Z57" i="13"/>
  <c r="Y63" i="13"/>
  <c r="AB45" i="13"/>
  <c r="Y44" i="13"/>
  <c r="Y56" i="13"/>
  <c r="AB61" i="21" a="1"/>
  <c r="Y35" i="13"/>
  <c r="AC55" i="13"/>
  <c r="Y31" i="13"/>
  <c r="AB32" i="13"/>
  <c r="Y61" i="13"/>
  <c r="Y64" i="13"/>
  <c r="AC36" i="13"/>
  <c r="Y41" i="13"/>
  <c r="Y40" i="13"/>
  <c r="AC30" i="13"/>
  <c r="Z63" i="13"/>
  <c r="AB44" i="13"/>
  <c r="AB25" i="13"/>
  <c r="Y39" i="13"/>
  <c r="AC49" i="13"/>
  <c r="AB26" i="13"/>
  <c r="Z47" i="13"/>
  <c r="Z54" i="13"/>
  <c r="Y59" i="13"/>
  <c r="Y26" i="13"/>
  <c r="AB43" i="13"/>
  <c r="Z37" i="13"/>
  <c r="Y32" i="13"/>
  <c r="Y53" i="13"/>
  <c r="AC56" i="13"/>
  <c r="AB39" i="13"/>
  <c r="Z60" i="13"/>
  <c r="Z51" i="13"/>
  <c r="AC40" i="13"/>
  <c r="AB35" i="13"/>
  <c r="Y60" i="13"/>
  <c r="Z39" i="13"/>
  <c r="AC48" i="13"/>
  <c r="AB46" i="13"/>
  <c r="AC41" i="13"/>
  <c r="Z25" i="13"/>
  <c r="AC28" i="13"/>
  <c r="Y66" i="13"/>
  <c r="AB42" i="13"/>
  <c r="AC51" i="13"/>
  <c r="AC43" i="13"/>
  <c r="Y36" i="13"/>
  <c r="Z58" i="13"/>
  <c r="Y62" i="13"/>
  <c r="Z55" i="13"/>
  <c r="Y27" i="13"/>
  <c r="AC46" i="13"/>
  <c r="Y29" i="13"/>
  <c r="AC50" i="13"/>
  <c r="AB33" i="13"/>
  <c r="AC38" i="13"/>
  <c r="Y54" i="13"/>
  <c r="Z66" i="13"/>
  <c r="AB37" i="13"/>
  <c r="Z42" i="13"/>
  <c r="Z36" i="13"/>
  <c r="AC64" i="13"/>
  <c r="AB41" i="13"/>
  <c r="AC67" i="13"/>
  <c r="Z24" i="13"/>
  <c r="Y50" i="13"/>
  <c r="AC53" i="13"/>
  <c r="AC33" i="13"/>
  <c r="Z50" i="13"/>
  <c r="Y49" i="13"/>
  <c r="AC45" i="13"/>
  <c r="AC26" i="13"/>
  <c r="Y34" i="13"/>
  <c r="Y67" i="13"/>
  <c r="AB24" i="13"/>
  <c r="Z38" i="13"/>
  <c r="Z33" i="13"/>
  <c r="AC59" i="13"/>
  <c r="Y33" i="13"/>
  <c r="AB38" i="13"/>
  <c r="AB29" i="13"/>
  <c r="AC35" i="13"/>
  <c r="Z64" i="13"/>
  <c r="Y52" i="13"/>
  <c r="Z41" i="13"/>
  <c r="Y48" i="13"/>
  <c r="Z43" i="13"/>
  <c r="Z34" i="13"/>
  <c r="AC60" i="13"/>
  <c r="AC24" i="13"/>
  <c r="Z31" i="13"/>
  <c r="AB34" i="13"/>
  <c r="AC37" i="13"/>
  <c r="Z61" i="13"/>
  <c r="AC58" i="13"/>
  <c r="Y24" i="13"/>
  <c r="AC66" i="13"/>
  <c r="Z59" i="13"/>
  <c r="Z44"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39" i="11"/>
  <c r="Y60" i="11"/>
  <c r="Z65" i="11"/>
  <c r="Z38" i="11"/>
  <c r="Y45" i="11"/>
  <c r="Y27" i="11"/>
  <c r="Z64" i="11"/>
  <c r="Y29" i="11"/>
  <c r="Z28" i="11"/>
  <c r="Y57" i="11"/>
  <c r="Y62" i="11"/>
  <c r="Y64" i="11"/>
  <c r="Z48" i="11"/>
  <c r="Y32" i="11"/>
  <c r="Z55" i="11"/>
  <c r="Z42" i="11"/>
  <c r="Z57" i="11"/>
  <c r="Z54" i="11"/>
  <c r="Z67" i="11"/>
  <c r="Y48" i="11"/>
  <c r="Z32" i="11"/>
  <c r="Z27" i="11"/>
  <c r="Z51" i="11"/>
  <c r="Y47" i="11"/>
  <c r="Y46" i="11"/>
  <c r="Y25" i="11"/>
  <c r="AB50" i="11"/>
  <c r="Y42" i="11"/>
  <c r="Y49" i="11"/>
  <c r="Z34" i="11"/>
  <c r="Z47" i="11"/>
  <c r="Z56" i="11"/>
  <c r="Y24" i="11"/>
  <c r="Y31" i="11"/>
  <c r="Y34" i="11"/>
  <c r="Y55" i="11"/>
  <c r="Y41" i="11"/>
  <c r="Z58" i="11"/>
  <c r="Z59" i="11"/>
  <c r="Z37" i="11"/>
  <c r="Y65" i="11"/>
  <c r="Z60" i="11"/>
  <c r="Z44" i="11"/>
  <c r="Y40" i="11"/>
  <c r="Y59" i="11"/>
  <c r="Z40" i="11"/>
  <c r="Y53" i="11"/>
  <c r="Y58" i="11"/>
  <c r="Z30" i="11"/>
  <c r="Y63" i="11"/>
  <c r="Z31" i="11"/>
  <c r="Y30" i="11"/>
  <c r="Z53" i="11"/>
  <c r="Z25" i="11"/>
  <c r="Y43" i="11"/>
  <c r="Y39" i="11"/>
  <c r="Z41" i="11"/>
  <c r="Y28" i="11"/>
  <c r="Y56" i="11"/>
  <c r="Y44" i="11"/>
  <c r="Z35" i="11"/>
  <c r="Z26" i="11"/>
  <c r="Y26" i="11"/>
  <c r="Y61" i="11"/>
  <c r="Y38" i="11"/>
  <c r="Y37" i="11"/>
  <c r="Z36" i="11"/>
  <c r="Z66" i="11"/>
  <c r="Z24" i="11"/>
  <c r="Y66" i="11"/>
  <c r="Y52" i="11"/>
  <c r="Z62" i="11"/>
  <c r="Y54" i="11"/>
  <c r="Z52" i="11"/>
  <c r="Z45" i="11"/>
  <c r="AB47" i="13"/>
  <c r="Z49" i="11"/>
  <c r="Z29" i="11"/>
  <c r="Z46" i="11"/>
  <c r="Y51" i="11"/>
  <c r="Y33" i="11"/>
  <c r="Z43" i="11"/>
  <c r="AB62" i="21" a="1"/>
  <c r="Y35" i="11"/>
  <c r="Z61" i="11"/>
  <c r="Y50" i="11"/>
  <c r="Y36" i="11"/>
  <c r="Y67" i="11"/>
  <c r="Z50" i="11"/>
  <c r="Z33" i="11"/>
  <c r="Z63" i="11"/>
  <c r="AB328" i="11" l="1" a="1"/>
  <c r="AB328" i="11" s="1"/>
  <c r="AB326" i="11" a="1"/>
  <c r="AB326" i="11" s="1"/>
  <c r="AB327" i="11" a="1"/>
  <c r="AB327" i="11" s="1"/>
  <c r="AB324" i="11" a="1"/>
  <c r="AB324" i="11" s="1"/>
  <c r="AB322" i="11" a="1"/>
  <c r="AB322" i="11" s="1"/>
  <c r="AB329" i="11" a="1"/>
  <c r="AB329" i="11" s="1"/>
  <c r="AB325" i="11" a="1"/>
  <c r="AB325" i="11" s="1"/>
  <c r="AB323" i="11" a="1"/>
  <c r="AB323" i="11" s="1"/>
  <c r="AB321" i="11" a="1"/>
  <c r="AB321" i="11" s="1"/>
  <c r="AC324" i="11" a="1"/>
  <c r="AC324" i="11" s="1"/>
  <c r="AC328" i="11" a="1"/>
  <c r="AC328" i="11" s="1"/>
  <c r="AC322" i="11" a="1"/>
  <c r="AC322" i="11" s="1"/>
  <c r="AC327" i="11" a="1"/>
  <c r="AC327" i="11" s="1"/>
  <c r="AC323" i="11" a="1"/>
  <c r="AC323" i="11" s="1"/>
  <c r="AC321" i="11" a="1"/>
  <c r="AC321" i="11" s="1"/>
  <c r="AC329" i="11" a="1"/>
  <c r="AC329" i="11" s="1"/>
  <c r="AC326" i="11" a="1"/>
  <c r="AC326" i="11" s="1"/>
  <c r="AC325" i="11" a="1"/>
  <c r="AC325" i="11" s="1"/>
  <c r="AB62" i="2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9" i="11" s="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51" i="11"/>
  <c r="AB63" i="21" a="1"/>
  <c r="AB48" i="13"/>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W58" i="11" s="1"/>
  <c r="AL58" i="13"/>
  <c r="AM57" i="11"/>
  <c r="AL57" i="13"/>
  <c r="AW57" i="21"/>
  <c r="BB57" i="21" s="1"/>
  <c r="AM67" i="11"/>
  <c r="AW67" i="11" s="1"/>
  <c r="AM67" i="13"/>
  <c r="AM63" i="11"/>
  <c r="AW63" i="11" s="1"/>
  <c r="AW63" i="21"/>
  <c r="BB63" i="21" s="1"/>
  <c r="AM60" i="11"/>
  <c r="AW60" i="11" s="1"/>
  <c r="AW60" i="21"/>
  <c r="BB60" i="21" s="1"/>
  <c r="AM62" i="11"/>
  <c r="AW62" i="11" s="1"/>
  <c r="AW62" i="21"/>
  <c r="BB62" i="21" s="1"/>
  <c r="AM64" i="11"/>
  <c r="AW64" i="11" s="1"/>
  <c r="AW64" i="21"/>
  <c r="BB64" i="21" s="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49" i="13"/>
  <c r="AB64" i="21" a="1"/>
  <c r="AB52" i="11"/>
  <c r="AB64" i="21" l="1"/>
  <c r="AV64" i="21" s="1"/>
  <c r="BA64" i="21" s="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65" i="21" a="1"/>
  <c r="AB53" i="11"/>
  <c r="AB50" i="13"/>
  <c r="G31" i="14" l="1"/>
  <c r="AB65" i="2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J29" i="15"/>
  <c r="J26" i="15"/>
  <c r="W54" i="11"/>
  <c r="W53" i="13"/>
  <c r="B53" i="11"/>
  <c r="V132" i="5"/>
  <c r="W132" i="5" s="1"/>
  <c r="A70" i="5"/>
  <c r="P69" i="5"/>
  <c r="AB69" i="5"/>
  <c r="Z69" i="5"/>
  <c r="F69" i="5"/>
  <c r="H69" i="5"/>
  <c r="R69" i="5"/>
  <c r="U17" i="5"/>
  <c r="AD17" i="5" s="1"/>
  <c r="AA65" i="11"/>
  <c r="AB54" i="11"/>
  <c r="AB51" i="13"/>
  <c r="AB66" i="21" a="1"/>
  <c r="AB67" i="21" a="1"/>
  <c r="AB45" i="15" l="1"/>
  <c r="AI37" i="15"/>
  <c r="AI35" i="15"/>
  <c r="AI34" i="15"/>
  <c r="AI36" i="15"/>
  <c r="AB67" i="2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H328" i="13"/>
  <c r="AH292" i="13"/>
  <c r="AD292" i="13" s="1"/>
  <c r="M16" i="25" s="1"/>
  <c r="AH78" i="13"/>
  <c r="AD78" i="13" s="1"/>
  <c r="I12" i="25" s="1"/>
  <c r="AH158" i="13"/>
  <c r="AD158" i="13" s="1"/>
  <c r="J40" i="25" s="1"/>
  <c r="J39" i="26" s="1"/>
  <c r="AD39" i="26" s="1"/>
  <c r="AI317" i="13"/>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H302" i="13"/>
  <c r="AD302" i="13" s="1"/>
  <c r="M26" i="25" s="1"/>
  <c r="AH84" i="13"/>
  <c r="AD84" i="13" s="1"/>
  <c r="I18" i="25" s="1"/>
  <c r="AH213" i="13"/>
  <c r="K43" i="24" s="1"/>
  <c r="AH83" i="13"/>
  <c r="I17" i="24" s="1"/>
  <c r="AI259" i="13"/>
  <c r="AD259" i="13" s="1"/>
  <c r="L36" i="25" s="1"/>
  <c r="L35" i="26" s="1"/>
  <c r="AF35" i="26" s="1"/>
  <c r="AH130" i="13"/>
  <c r="AD130" i="13" s="1"/>
  <c r="J12" i="25" s="1"/>
  <c r="AH322" i="13"/>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H30" i="14"/>
  <c r="H19" i="14"/>
  <c r="AH319" i="13"/>
  <c r="AH145" i="13"/>
  <c r="AH257" i="13"/>
  <c r="AD257" i="13" s="1"/>
  <c r="L34" i="25" s="1"/>
  <c r="L33" i="26" s="1"/>
  <c r="AF33" i="26" s="1"/>
  <c r="AH249" i="13"/>
  <c r="AD249" i="13" s="1"/>
  <c r="L26" i="25" s="1"/>
  <c r="L25" i="26" s="1"/>
  <c r="AF25" i="26" s="1"/>
  <c r="B19" i="15"/>
  <c r="B19" i="26" s="1"/>
  <c r="V19" i="26" s="1"/>
  <c r="AI327" i="13"/>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I325" i="13"/>
  <c r="AI89" i="13"/>
  <c r="AD89" i="13" s="1"/>
  <c r="I23" i="25" s="1"/>
  <c r="I22" i="26" s="1"/>
  <c r="AC22" i="26" s="1"/>
  <c r="AH214" i="13"/>
  <c r="K44" i="24" s="1"/>
  <c r="AH303" i="13"/>
  <c r="AD303" i="13" s="1"/>
  <c r="M27" i="25" s="1"/>
  <c r="AH255" i="13"/>
  <c r="L32" i="24" s="1"/>
  <c r="AH315" i="13"/>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J46" i="24" l="1"/>
  <c r="AU66" i="1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M47" i="24"/>
  <c r="T13" i="14"/>
  <c r="J38" i="24"/>
  <c r="M39" i="24"/>
  <c r="I24" i="24"/>
  <c r="X31" i="15"/>
  <c r="M38" i="24"/>
  <c r="M48" i="24"/>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C329" i="13" l="1" a="1"/>
  <c r="AC329" i="13" s="1"/>
  <c r="AC312" i="13" a="1"/>
  <c r="AC312" i="13" s="1"/>
  <c r="AC321" i="13" a="1"/>
  <c r="AC321" i="13" s="1"/>
  <c r="AC322" i="13" a="1"/>
  <c r="AC322" i="13" s="1"/>
  <c r="AC318" i="13" a="1"/>
  <c r="AC318" i="13" s="1"/>
  <c r="AC313" i="13" a="1"/>
  <c r="AC313" i="13" s="1"/>
  <c r="AC324" i="13" a="1"/>
  <c r="AC324" i="13" s="1"/>
  <c r="AC316" i="13" a="1"/>
  <c r="AC316" i="13" s="1"/>
  <c r="AC325" i="13" a="1"/>
  <c r="AC325" i="13" s="1"/>
  <c r="AC311" i="13" a="1"/>
  <c r="AC311" i="13" s="1"/>
  <c r="AC315" i="13" a="1"/>
  <c r="AC315" i="13" s="1"/>
  <c r="AC319" i="13" a="1"/>
  <c r="AC319" i="13" s="1"/>
  <c r="AC314" i="13" a="1"/>
  <c r="AC314" i="13" s="1"/>
  <c r="AC327" i="13" a="1"/>
  <c r="AC327" i="13" s="1"/>
  <c r="AC326" i="13" a="1"/>
  <c r="AC326" i="13" s="1"/>
  <c r="AC328" i="13" a="1"/>
  <c r="AC328" i="13" s="1"/>
  <c r="AC317" i="13" a="1"/>
  <c r="AC317" i="13" s="1"/>
  <c r="AC320" i="13" a="1"/>
  <c r="AC320" i="13" s="1"/>
  <c r="AC323" i="13" a="1"/>
  <c r="AC323" i="13" s="1"/>
  <c r="AV57" i="1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312" i="13" l="1" a="1"/>
  <c r="AB312" i="13" s="1"/>
  <c r="AD312" i="13" s="1"/>
  <c r="M36" i="25" s="1"/>
  <c r="M35" i="26" s="1"/>
  <c r="AG35" i="26" s="1"/>
  <c r="AB315" i="13" a="1"/>
  <c r="AB315" i="13" s="1"/>
  <c r="AD315" i="13" s="1"/>
  <c r="M39" i="25" s="1"/>
  <c r="M38" i="26" s="1"/>
  <c r="AG38" i="26" s="1"/>
  <c r="AB320" i="13" a="1"/>
  <c r="AB320" i="13" s="1"/>
  <c r="AD320" i="13" s="1"/>
  <c r="M44" i="25" s="1"/>
  <c r="M43" i="26" s="1"/>
  <c r="AG43" i="26" s="1"/>
  <c r="AB322" i="13" a="1"/>
  <c r="AB322" i="13" s="1"/>
  <c r="AD322" i="13" s="1"/>
  <c r="M46" i="25" s="1"/>
  <c r="M45" i="26" s="1"/>
  <c r="AG45" i="26" s="1"/>
  <c r="AB326" i="13" a="1"/>
  <c r="AB326" i="13" s="1"/>
  <c r="AD326" i="13" s="1"/>
  <c r="M50" i="25" s="1"/>
  <c r="M49" i="26" s="1"/>
  <c r="AG49" i="26" s="1"/>
  <c r="AB314" i="13" a="1"/>
  <c r="AB314" i="13" s="1"/>
  <c r="AD314" i="13" s="1"/>
  <c r="M38" i="25" s="1"/>
  <c r="M37" i="26" s="1"/>
  <c r="AG37" i="26" s="1"/>
  <c r="AB311" i="13" a="1"/>
  <c r="AB311" i="13" s="1"/>
  <c r="AD311" i="13" s="1"/>
  <c r="M35" i="25" s="1"/>
  <c r="M34" i="26" s="1"/>
  <c r="AG34" i="26" s="1"/>
  <c r="AB316" i="13" a="1"/>
  <c r="AB316" i="13" s="1"/>
  <c r="AD316" i="13" s="1"/>
  <c r="M40" i="25" s="1"/>
  <c r="M39" i="26" s="1"/>
  <c r="AG39" i="26" s="1"/>
  <c r="AB327" i="13" a="1"/>
  <c r="AB327" i="13" s="1"/>
  <c r="AD327" i="13" s="1"/>
  <c r="M51" i="25" s="1"/>
  <c r="M50" i="26" s="1"/>
  <c r="AG50" i="26" s="1"/>
  <c r="AB319" i="13" a="1"/>
  <c r="AB319" i="13" s="1"/>
  <c r="AD319" i="13" s="1"/>
  <c r="M43" i="25" s="1"/>
  <c r="M42" i="26" s="1"/>
  <c r="AG42" i="26" s="1"/>
  <c r="AB328" i="13" a="1"/>
  <c r="AB328" i="13" s="1"/>
  <c r="AD328" i="13" s="1"/>
  <c r="M52" i="25" s="1"/>
  <c r="M51" i="26" s="1"/>
  <c r="AG51" i="26" s="1"/>
  <c r="AB324" i="13" a="1"/>
  <c r="AB324" i="13" s="1"/>
  <c r="AD324" i="13" s="1"/>
  <c r="M48" i="25" s="1"/>
  <c r="M47" i="26" s="1"/>
  <c r="AG47" i="26" s="1"/>
  <c r="AB323" i="13" a="1"/>
  <c r="AB323" i="13" s="1"/>
  <c r="AD323" i="13" s="1"/>
  <c r="M47" i="25" s="1"/>
  <c r="M46" i="26" s="1"/>
  <c r="AG46" i="26" s="1"/>
  <c r="AB321" i="13" a="1"/>
  <c r="AB321" i="13" s="1"/>
  <c r="AD321" i="13" s="1"/>
  <c r="M45" i="25" s="1"/>
  <c r="M44" i="26" s="1"/>
  <c r="AG44" i="26" s="1"/>
  <c r="AB318" i="13" a="1"/>
  <c r="AB318" i="13" s="1"/>
  <c r="AD318" i="13" s="1"/>
  <c r="M42" i="25" s="1"/>
  <c r="M41" i="26" s="1"/>
  <c r="AG41" i="26" s="1"/>
  <c r="AB325" i="13" a="1"/>
  <c r="AB325" i="13" s="1"/>
  <c r="AD325" i="13" s="1"/>
  <c r="M49" i="25" s="1"/>
  <c r="M48" i="26" s="1"/>
  <c r="AG48" i="26" s="1"/>
  <c r="AB313" i="13" a="1"/>
  <c r="AB313" i="13" s="1"/>
  <c r="AD313" i="13" s="1"/>
  <c r="M37" i="25" s="1"/>
  <c r="M36" i="26" s="1"/>
  <c r="AG36" i="26" s="1"/>
  <c r="AB317" i="13" a="1"/>
  <c r="AB317" i="13" s="1"/>
  <c r="AD317" i="13" s="1"/>
  <c r="M41" i="25" s="1"/>
  <c r="M40" i="26" s="1"/>
  <c r="AG40" i="26" s="1"/>
  <c r="AB329" i="13" a="1"/>
  <c r="AB329" i="13" s="1"/>
  <c r="AD329" i="13" s="1"/>
  <c r="M53" i="25" s="1"/>
  <c r="M52" i="26" s="1"/>
  <c r="AG52" i="26" s="1"/>
  <c r="AB198" i="13"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C313" i="21" l="1" a="1"/>
  <c r="AC313" i="21" s="1"/>
  <c r="AC312" i="21" a="1"/>
  <c r="AC312" i="21" s="1"/>
  <c r="AC325" i="21" a="1"/>
  <c r="AC325" i="21" s="1"/>
  <c r="AC320" i="21" a="1"/>
  <c r="AC320" i="21" s="1"/>
  <c r="AC329" i="21" a="1"/>
  <c r="AC329" i="21" s="1"/>
  <c r="AC311" i="21" a="1"/>
  <c r="AC311" i="21" s="1"/>
  <c r="AC318" i="21" a="1"/>
  <c r="AC318" i="21" s="1"/>
  <c r="AC315" i="21" a="1"/>
  <c r="AC315" i="21" s="1"/>
  <c r="AC306" i="21" a="1"/>
  <c r="AC306" i="21" s="1"/>
  <c r="AC310" i="21" a="1"/>
  <c r="AC310" i="21" s="1"/>
  <c r="AC322" i="21" a="1"/>
  <c r="AC322" i="21" s="1"/>
  <c r="AC316" i="21" a="1"/>
  <c r="AC316" i="21" s="1"/>
  <c r="AC326" i="21" a="1"/>
  <c r="AC326" i="21" s="1"/>
  <c r="AC321" i="21" a="1"/>
  <c r="AC321" i="21" s="1"/>
  <c r="AC317" i="21" a="1"/>
  <c r="AC317" i="21" s="1"/>
  <c r="AC308" i="21" a="1"/>
  <c r="AC308" i="21" s="1"/>
  <c r="AC305" i="21" a="1"/>
  <c r="AC305" i="21" s="1"/>
  <c r="AC328" i="21" a="1"/>
  <c r="AC328" i="21" s="1"/>
  <c r="AC324" i="21" a="1"/>
  <c r="AC324" i="21" s="1"/>
  <c r="AC307" i="21" a="1"/>
  <c r="AC307" i="21" s="1"/>
  <c r="AC309" i="21" a="1"/>
  <c r="AC309" i="21" s="1"/>
  <c r="AC323" i="21" a="1"/>
  <c r="AC323" i="21" s="1"/>
  <c r="AC319" i="21" a="1"/>
  <c r="AC319" i="21" s="1"/>
  <c r="AC314" i="21" a="1"/>
  <c r="AC314" i="21" s="1"/>
  <c r="AC327" i="21" a="1"/>
  <c r="AC327" i="21" s="1"/>
  <c r="AB311" i="21" a="1"/>
  <c r="AB311" i="21" s="1"/>
  <c r="AB310" i="21" a="1"/>
  <c r="AB310" i="21" s="1"/>
  <c r="AB317" i="21" a="1"/>
  <c r="AB317" i="21" s="1"/>
  <c r="AB322" i="21" a="1"/>
  <c r="AB322" i="21" s="1"/>
  <c r="AB327" i="21" a="1"/>
  <c r="AB327" i="21" s="1"/>
  <c r="AB320" i="21" a="1"/>
  <c r="AB320" i="21" s="1"/>
  <c r="AB323" i="21" a="1"/>
  <c r="AB323" i="21" s="1"/>
  <c r="AB329" i="21" a="1"/>
  <c r="AB329" i="21" s="1"/>
  <c r="AB315" i="21" a="1"/>
  <c r="AB315" i="21" s="1"/>
  <c r="AB309" i="21" a="1"/>
  <c r="AB309" i="21" s="1"/>
  <c r="AB321" i="21" a="1"/>
  <c r="AB321" i="21" s="1"/>
  <c r="AB314" i="21" a="1"/>
  <c r="AB314" i="21" s="1"/>
  <c r="AB325" i="21" a="1"/>
  <c r="AB325" i="21" s="1"/>
  <c r="AB328" i="21" a="1"/>
  <c r="AB328" i="21" s="1"/>
  <c r="AB326" i="21" a="1"/>
  <c r="AB326" i="21" s="1"/>
  <c r="AB306" i="21" a="1"/>
  <c r="AB306" i="21" s="1"/>
  <c r="AB307" i="21" a="1"/>
  <c r="AB307" i="21" s="1"/>
  <c r="AB316" i="21" a="1"/>
  <c r="AB316" i="21" s="1"/>
  <c r="AB318" i="21" a="1"/>
  <c r="AB318" i="21" s="1"/>
  <c r="AB308" i="21" a="1"/>
  <c r="AB308" i="21" s="1"/>
  <c r="AB324" i="21" a="1"/>
  <c r="AB324" i="21" s="1"/>
  <c r="AB319" i="21" a="1"/>
  <c r="AB319" i="21" s="1"/>
  <c r="AB313" i="21" a="1"/>
  <c r="AB313" i="21" s="1"/>
  <c r="AB312" i="21" a="1"/>
  <c r="AB312" i="21" s="1"/>
  <c r="AB305" i="21" a="1"/>
  <c r="AB305" i="21" s="1"/>
  <c r="AB247" i="2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<sst xmlns="http://schemas.openxmlformats.org/spreadsheetml/2006/main" count="2123" uniqueCount="454">
  <si>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</si>
  <si>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</si>
  <si>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</si>
  <si>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</si>
  <si>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</si>
  <si>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</si>
  <si>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</si>
  <si>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</si>
  <si>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</si>
  <si>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</si>
  <si>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</si>
  <si>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</si>
  <si>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</si>
  <si>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</si>
  <si>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</si>
  <si>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</si>
  <si>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</si>
  <si>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</si>
  <si>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</si>
  <si>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</si>
  <si>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</si>
  <si>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</si>
  <si>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</si>
  <si>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</si>
  <si>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</si>
  <si>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</si>
  <si>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</si>
  <si>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</si>
  <si>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</si>
  <si>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</si>
  <si>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</si>
  <si>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</si>
  <si>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</si>
  <si>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</si>
  <si>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</si>
  <si>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</si>
  <si>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</si>
  <si>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</si>
  <si>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</si>
  <si>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</si>
  <si>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</si>
  <si>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</si>
  <si>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</si>
  <si>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</si>
  <si>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</si>
  <si>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</si>
  <si>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</si>
  <si>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</si>
  <si>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</si>
  <si>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</si>
  <si>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</si>
  <si>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</si>
  <si>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</si>
  <si>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</si>
  <si>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</si>
  <si>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</si>
  <si>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</si>
  <si>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</si>
  <si>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</si>
  <si>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</si>
  <si>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</si>
  <si>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</si>
  <si>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</si>
  <si>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</si>
  <si>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</si>
  <si>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</si>
  <si>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</si>
  <si>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</si>
  <si>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</si>
  <si>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</si>
  <si>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</si>
  <si>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</si>
  <si>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</si>
  <si>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</si>
  <si>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</si>
  <si>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</si>
  <si>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</si>
  <si>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</si>
  <si>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</si>
  <si>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</si>
  <si>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</si>
  <si>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</si>
  <si>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</si>
  <si>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</si>
  <si>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</si>
  <si>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</si>
  <si>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</si>
  <si>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</si>
  <si>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</si>
  <si>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</si>
  <si>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</si>
  <si>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</si>
  <si>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</si>
  <si>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</si>
  <si>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</si>
  <si>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</si>
  <si>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</si>
  <si>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</si>
  <si>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</si>
  <si>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</si>
  <si>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</si>
  <si>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</si>
  <si>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</si>
  <si>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</si>
  <si>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</si>
  <si>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</si>
  <si>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</si>
  <si>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</si>
  <si>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</si>
  <si>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</si>
  <si>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</si>
  <si>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</si>
  <si>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</si>
  <si>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</si>
  <si>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</si>
  <si>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</si>
  <si>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</si>
  <si>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</si>
  <si>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</si>
  <si>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</si>
  <si>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</si>
  <si>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</si>
  <si>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</si>
  <si>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</si>
  <si>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</si>
  <si>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</si>
  <si>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</si>
  <si>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</si>
  <si>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</si>
  <si>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</si>
  <si>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</si>
  <si>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</si>
  <si>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</si>
  <si>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</si>
  <si>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</si>
  <si>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</si>
  <si>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</si>
  <si>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</si>
  <si>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</si>
  <si>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</si>
  <si>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</si>
  <si>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</si>
  <si>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</si>
  <si>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</si>
  <si>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</si>
  <si>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</si>
  <si>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</si>
  <si>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</si>
  <si>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</si>
  <si>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</si>
  <si>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</si>
  <si>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</si>
  <si>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</si>
  <si>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</si>
  <si>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</si>
  <si>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</si>
  <si>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</si>
  <si>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</si>
  <si>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</si>
  <si>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</si>
  <si>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</si>
  <si>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</si>
  <si>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</si>
  <si>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</si>
  <si>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</si>
  <si>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</si>
  <si>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</si>
  <si>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</si>
  <si>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</si>
  <si>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</si>
  <si>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</si>
  <si>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</si>
  <si>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</si>
  <si>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</si>
  <si>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</si>
  <si>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</si>
  <si>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</si>
  <si>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</si>
  <si>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</si>
  <si>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</si>
  <si>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</si>
  <si>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</si>
  <si>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</si>
  <si>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</si>
  <si>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</si>
  <si>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</si>
  <si>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</si>
  <si>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</si>
  <si>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</si>
  <si>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</si>
  <si>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</si>
  <si>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</si>
  <si>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</si>
  <si>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</si>
  <si>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</si>
  <si>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</si>
  <si>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</si>
  <si>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</si>
  <si>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</si>
  <si>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</si>
  <si>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</si>
  <si>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</si>
  <si>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</si>
  <si>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</si>
  <si>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</si>
  <si>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</si>
  <si>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</si>
  <si>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</si>
  <si>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</si>
  <si>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</si>
  <si>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</si>
  <si>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</si>
  <si>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</si>
  <si>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</si>
  <si>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</si>
  <si>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</si>
  <si>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</si>
  <si>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</si>
  <si>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</si>
  <si>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</si>
  <si>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</si>
  <si>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</si>
  <si>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</si>
  <si>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</si>
  <si>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</si>
  <si>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</si>
  <si>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</si>
  <si>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</si>
  <si>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</si>
  <si>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</si>
  <si>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</si>
  <si>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</si>
  <si>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</si>
  <si>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</si>
  <si>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</si>
  <si>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</si>
  <si>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</si>
  <si>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</si>
  <si>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</si>
  <si>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</si>
  <si>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</si>
  <si>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</si>
  <si>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</si>
  <si>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</si>
  <si>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</si>
  <si>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</si>
  <si>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</si>
  <si>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</si>
  <si>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</si>
  <si>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</si>
  <si>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</si>
  <si>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</si>
  <si>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</si>
  <si>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</si>
  <si>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</si>
  <si>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</si>
  <si>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</si>
  <si>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</si>
  <si>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</si>
  <si>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</si>
  <si>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</si>
  <si>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</si>
  <si>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</si>
  <si>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</si>
  <si>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</si>
  <si>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</si>
  <si>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</si>
  <si>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</si>
  <si>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</si>
  <si>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</si>
  <si>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</si>
  <si>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</si>
  <si>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</si>
  <si>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</si>
  <si>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</si>
  <si>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</si>
  <si>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Non-Central % of All 7&amp;8 Sleep Trucks</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</si>
  <si>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</si>
  <si>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</si>
  <si>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</si>
  <si>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</si>
  <si>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</si>
  <si>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</si>
  <si>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</si>
  <si>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</si>
  <si>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</si>
  <si>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</si>
  <si>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</si>
  <si>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</si>
  <si>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</si>
  <si>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</si>
  <si>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</si>
  <si>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</si>
  <si>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</si>
  <si>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</si>
  <si>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</si>
  <si>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</si>
  <si>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</si>
  <si>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</si>
  <si>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</si>
  <si>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</si>
  <si>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</si>
  <si>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</si>
  <si>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</si>
  <si>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</si>
  <si>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</si>
  <si>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</si>
  <si>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</si>
  <si>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</si>
  <si>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</si>
  <si>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</si>
  <si>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</si>
  <si>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</si>
  <si>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</si>
  <si>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</si>
  <si>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</si>
  <si>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</si>
  <si>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</si>
  <si>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</si>
  <si>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</si>
  <si>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</si>
  <si>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</si>
  <si>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</si>
  <si>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</si>
  <si>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</si>
  <si>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</si>
  <si>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</si>
  <si>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</si>
  <si>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</si>
  <si>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</si>
  <si>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</si>
  <si>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</si>
  <si>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</si>
  <si>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</si>
  <si>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</si>
  <si>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</si>
  <si>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</si>
  <si>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</si>
  <si>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</si>
  <si>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</si>
  <si>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</si>
  <si>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</si>
  <si>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</si>
  <si>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</si>
  <si>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</si>
  <si>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</si>
  <si>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</si>
  <si>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</si>
  <si>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</si>
  <si>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</si>
  <si>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</si>
  <si>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</si>
  <si>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</si>
  <si>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</si>
  <si>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</si>
  <si>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</si>
  <si>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</si>
  <si>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</si>
  <si>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</si>
  <si>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</si>
  <si>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</si>
  <si>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</si>
  <si>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</si>
  <si>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</si>
  <si>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</si>
  <si>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</si>
  <si>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</si>
  <si>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</si>
  <si>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</si>
  <si>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</si>
  <si>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</si>
  <si>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</si>
  <si>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</si>
  <si>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</si>
  <si>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</si>
  <si>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</si>
  <si>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</si>
  <si>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</si>
  <si>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</si>
  <si>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</si>
  <si>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</si>
  <si>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</si>
  <si>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</si>
  <si>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</si>
  <si>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</si>
  <si>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</si>
  <si>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</si>
  <si>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</si>
  <si>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</si>
  <si>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</si>
  <si>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</si>
  <si>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</si>
  <si>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</si>
  <si>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</si>
  <si>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</si>
  <si>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</si>
  <si>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</si>
  <si>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</si>
  <si>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</si>
  <si>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</si>
  <si>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</si>
  <si>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</si>
  <si>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</si>
  <si>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</si>
  <si>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</si>
  <si>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</si>
  <si>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</si>
  <si>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</si>
  <si>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</si>
  <si>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</si>
  <si>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</si>
  <si>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</si>
  <si>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</si>
  <si>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</si>
  <si>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</si>
  <si>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</si>
  <si>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</si>
  <si>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</si>
  <si>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</si>
  <si>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</si>
  <si>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</si>
  <si>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</si>
  <si>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</si>
  <si>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</si>
  <si>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</si>
  <si>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</si>
  <si>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</si>
  <si>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</si>
  <si>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</si>
  <si>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</si>
  <si>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</si>
  <si>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</si>
  <si>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</si>
  <si>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</si>
  <si>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</si>
  <si>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</si>
  <si>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</si>
  <si>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</si>
  <si>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</si>
  <si>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</si>
  <si>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</si>
  <si>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</si>
  <si>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</si>
  <si>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</si>
  <si>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</si>
  <si>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</si>
  <si>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</si>
  <si>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</si>
  <si>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</si>
  <si>
    <t>adjusts slope at half saturation (width of probability function at 3 sigma)</t>
  </si>
  <si>
    <t>Central % of All 7&amp;8 Sleep Trucks</t>
  </si>
  <si>
    <t>Central % of All 7&amp;8 Sleep VMT</t>
  </si>
  <si>
    <t>Non-Central % of All 7&amp;8 Sleep VMT</t>
  </si>
  <si>
    <t>kWh/Btu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</si>
</sst>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 numFmtId="178" formatCode="0.0000000"/>
  </numFmts>
  <fonts count="95"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4"/>
      <name val="Calibri"/>
      <family val="2"/>
    </font>
    <font>
      <sz val="14"/>
      <name val="Calibri"/>
      <family val="2"/>
    </font>
    <font>
      <sz val="12"/>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
      <b/>
      <sz val="14"/>
      <color indexed="12"/>
      <name val="Calibri"/>
      <family val="2"/>
    </font>
    <font>
      <b/>
      <sz val="10"/>
      <color indexed="17"/>
      <name val="Calibri"/>
      <family val="2"/>
    </font>
    <font>
      <b/>
      <u/>
      <sz val="10"/>
      <name val="Calibri"/>
      <family val="2"/>
    </font>
    <font>
      <b/>
      <sz val="10"/>
      <color indexed="53"/>
      <name val="Calibri"/>
      <family val="2"/>
    </font>
    <font>
      <sz val="8"/>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46" fillId="0" borderId="181" applyNumberFormat="0" applyFont="0" applyProtection="0">
      <alignment wrapText="1"/>
    </xf>
    <xf numFmtId="44" fontId="57" fillId="0" borderId="0" applyFont="0" applyFill="0" applyBorder="0" applyAlignment="0" applyProtection="0"/>
    <xf numFmtId="44" fontId="6" fillId="0" borderId="0" applyFont="0" applyFill="0" applyBorder="0" applyAlignment="0" applyProtection="0"/>
    <xf numFmtId="0" fontId="84" fillId="0" borderId="0"/>
    <xf numFmtId="9" fontId="84" fillId="0" borderId="0" applyFont="0" applyFill="0" applyBorder="0" applyAlignment="0" applyProtection="0"/>
    <xf numFmtId="44" fontId="84" fillId="0" borderId="0" applyFont="0" applyFill="0" applyBorder="0" applyAlignment="0" applyProtection="0"/>
    <xf numFmtId="0" fontId="86" fillId="0" borderId="0"/>
  </cellStyleXfs>
  <cellXfs count="1641">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36" fillId="0" borderId="0" xfId="0" applyFont="1" applyFill="1" applyAlignment="1">
      <alignment horizontal="left"/>
    </xf>
    <xf numFmtId="0" fontId="25" fillId="0" borderId="0" xfId="0" applyFont="1" applyFill="1" applyAlignment="1">
      <alignment horizontal="center"/>
    </xf>
    <xf numFmtId="3" fontId="36"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39" fillId="0" borderId="0" xfId="0" applyNumberFormat="1" applyFont="1"/>
    <xf numFmtId="0" fontId="38" fillId="0" borderId="0" xfId="0" applyFont="1" applyFill="1"/>
    <xf numFmtId="2" fontId="25" fillId="0" borderId="15" xfId="0" applyNumberFormat="1" applyFont="1" applyFill="1" applyBorder="1"/>
    <xf numFmtId="2" fontId="41" fillId="0" borderId="15" xfId="0" applyNumberFormat="1" applyFont="1" applyBorder="1" applyAlignment="1">
      <alignment horizontal="center"/>
    </xf>
    <xf numFmtId="2" fontId="41" fillId="0" borderId="12" xfId="0" applyNumberFormat="1" applyFont="1" applyBorder="1" applyAlignment="1">
      <alignment horizontal="center"/>
    </xf>
    <xf numFmtId="2" fontId="41" fillId="0" borderId="0" xfId="0" applyNumberFormat="1" applyFont="1" applyFill="1" applyAlignment="1">
      <alignment horizontal="center"/>
    </xf>
    <xf numFmtId="2" fontId="41"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25" fillId="0" borderId="27" xfId="0" applyFont="1" applyFill="1" applyBorder="1"/>
    <xf numFmtId="0" fontId="25" fillId="0" borderId="0" xfId="0" applyFont="1" applyFill="1" applyAlignment="1">
      <alignment horizontal="centerContinuous"/>
    </xf>
    <xf numFmtId="10" fontId="25" fillId="0" borderId="0" xfId="0" applyNumberFormat="1" applyFont="1" applyFill="1"/>
    <xf numFmtId="0" fontId="44" fillId="0" borderId="0" xfId="0" applyFont="1" applyFill="1"/>
    <xf numFmtId="164" fontId="25" fillId="0" borderId="0" xfId="44" applyNumberFormat="1" applyFont="1" applyFill="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2" fontId="25" fillId="0" borderId="0" xfId="0" applyNumberFormat="1" applyFont="1" applyFill="1"/>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43" fillId="0" borderId="0" xfId="0" applyFont="1" applyFill="1"/>
    <xf numFmtId="1" fontId="25" fillId="0" borderId="0" xfId="0" applyNumberFormat="1" applyFont="1" applyFill="1"/>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45" fillId="0" borderId="42" xfId="41" applyFont="1" applyBorder="1"/>
    <xf numFmtId="0" fontId="25" fillId="0" borderId="0" xfId="0" applyFont="1" applyFill="1" applyAlignment="1">
      <alignment horizontal="left"/>
    </xf>
    <xf numFmtId="0" fontId="45" fillId="0" borderId="0" xfId="41" applyFont="1"/>
    <xf numFmtId="0" fontId="46"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47" fillId="0" borderId="0" xfId="0" applyFont="1"/>
    <xf numFmtId="0" fontId="26" fillId="0" borderId="0" xfId="0" applyFont="1" applyAlignment="1">
      <alignment horizontal="left"/>
    </xf>
    <xf numFmtId="0" fontId="45" fillId="0" borderId="0" xfId="41" applyFont="1" applyAlignment="1">
      <alignment horizontal="center"/>
    </xf>
    <xf numFmtId="0" fontId="34" fillId="0" borderId="0" xfId="41" applyFont="1" applyBorder="1" applyAlignment="1">
      <alignment horizontal="center"/>
    </xf>
    <xf numFmtId="9" fontId="45" fillId="0" borderId="42" xfId="41" applyNumberFormat="1" applyFont="1" applyFill="1" applyBorder="1" applyAlignment="1">
      <alignment horizontal="center"/>
    </xf>
    <xf numFmtId="0" fontId="45" fillId="0" borderId="42" xfId="41" applyFont="1" applyFill="1" applyBorder="1"/>
    <xf numFmtId="3" fontId="45" fillId="0" borderId="42" xfId="41" applyNumberFormat="1" applyFont="1" applyBorder="1" applyAlignment="1">
      <alignment horizontal="center"/>
    </xf>
    <xf numFmtId="168" fontId="45" fillId="0" borderId="0" xfId="41" applyNumberFormat="1" applyFont="1" applyFill="1" applyBorder="1"/>
    <xf numFmtId="0" fontId="45" fillId="0" borderId="0" xfId="41" applyFont="1" applyFill="1"/>
    <xf numFmtId="164" fontId="45" fillId="0" borderId="0" xfId="44" applyNumberFormat="1" applyFont="1" applyFill="1" applyBorder="1"/>
    <xf numFmtId="0" fontId="45" fillId="0" borderId="0" xfId="41" applyNumberFormat="1" applyFont="1" applyFill="1" applyBorder="1"/>
    <xf numFmtId="0" fontId="45" fillId="0" borderId="0" xfId="41" applyFont="1" applyFill="1" applyAlignment="1">
      <alignment horizontal="right"/>
    </xf>
    <xf numFmtId="0" fontId="45" fillId="0" borderId="0" xfId="41" applyFont="1" applyFill="1" applyBorder="1"/>
    <xf numFmtId="0" fontId="45" fillId="0" borderId="0" xfId="41" applyFont="1" applyAlignment="1">
      <alignment wrapText="1"/>
    </xf>
    <xf numFmtId="0" fontId="45" fillId="0" borderId="27" xfId="41" applyFont="1" applyBorder="1"/>
    <xf numFmtId="0" fontId="45" fillId="0" borderId="43" xfId="41" applyFont="1" applyBorder="1"/>
    <xf numFmtId="0" fontId="45"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45" fillId="0" borderId="115" xfId="41" applyNumberFormat="1" applyFont="1" applyFill="1" applyBorder="1"/>
    <xf numFmtId="168" fontId="45" fillId="25" borderId="111" xfId="44" applyNumberFormat="1" applyFont="1" applyFill="1" applyBorder="1"/>
    <xf numFmtId="168" fontId="45" fillId="0" borderId="0" xfId="44" applyNumberFormat="1" applyFont="1" applyFill="1" applyBorder="1"/>
    <xf numFmtId="0" fontId="34" fillId="0" borderId="99" xfId="41" applyFont="1" applyFill="1" applyBorder="1" applyAlignment="1">
      <alignment horizontal="right"/>
    </xf>
    <xf numFmtId="168" fontId="45" fillId="0" borderId="42" xfId="41" applyNumberFormat="1" applyFont="1" applyFill="1" applyBorder="1"/>
    <xf numFmtId="168" fontId="45" fillId="0" borderId="48" xfId="44" applyNumberFormat="1" applyFont="1" applyFill="1" applyBorder="1"/>
    <xf numFmtId="3" fontId="45" fillId="0" borderId="0" xfId="41" applyNumberFormat="1" applyFont="1" applyFill="1" applyBorder="1"/>
    <xf numFmtId="0" fontId="34" fillId="0" borderId="100" xfId="41" applyFont="1" applyFill="1" applyBorder="1" applyAlignment="1">
      <alignment horizontal="right"/>
    </xf>
    <xf numFmtId="0" fontId="45" fillId="0" borderId="49" xfId="41" applyFont="1" applyFill="1" applyBorder="1"/>
    <xf numFmtId="0" fontId="45" fillId="0" borderId="100" xfId="41" applyFont="1" applyFill="1" applyBorder="1"/>
    <xf numFmtId="0" fontId="45" fillId="0" borderId="117" xfId="41" applyFont="1" applyFill="1" applyBorder="1"/>
    <xf numFmtId="168" fontId="45" fillId="0" borderId="117" xfId="41" applyNumberFormat="1" applyFont="1" applyFill="1" applyBorder="1"/>
    <xf numFmtId="168" fontId="45" fillId="0" borderId="49" xfId="44" applyNumberFormat="1" applyFont="1" applyFill="1" applyBorder="1"/>
    <xf numFmtId="0" fontId="45" fillId="0" borderId="0" xfId="41" applyFont="1" applyFill="1" applyBorder="1" applyAlignment="1">
      <alignment horizontal="left"/>
    </xf>
    <xf numFmtId="164" fontId="45" fillId="0" borderId="0" xfId="41" applyNumberFormat="1" applyFont="1" applyFill="1" applyBorder="1"/>
    <xf numFmtId="9" fontId="45" fillId="0" borderId="0" xfId="41" applyNumberFormat="1" applyFont="1" applyFill="1" applyBorder="1" applyAlignment="1">
      <alignment horizontal="center"/>
    </xf>
    <xf numFmtId="0" fontId="26" fillId="0" borderId="0" xfId="41" applyFont="1"/>
    <xf numFmtId="0" fontId="45" fillId="0" borderId="118" xfId="41" applyFont="1" applyBorder="1"/>
    <xf numFmtId="0" fontId="45"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45" fillId="0" borderId="98" xfId="41" applyNumberFormat="1" applyFont="1" applyBorder="1"/>
    <xf numFmtId="168" fontId="45" fillId="0" borderId="125" xfId="41" applyNumberFormat="1" applyFont="1" applyBorder="1"/>
    <xf numFmtId="168" fontId="45" fillId="0" borderId="101" xfId="41" applyNumberFormat="1" applyFont="1" applyBorder="1"/>
    <xf numFmtId="168" fontId="45" fillId="0" borderId="47" xfId="41" applyNumberFormat="1" applyFont="1" applyBorder="1"/>
    <xf numFmtId="0" fontId="45" fillId="0" borderId="98" xfId="41" applyNumberFormat="1" applyFont="1" applyBorder="1" applyAlignment="1">
      <alignment horizontal="center"/>
    </xf>
    <xf numFmtId="0" fontId="45" fillId="0" borderId="125" xfId="41" applyNumberFormat="1" applyFont="1" applyBorder="1" applyAlignment="1">
      <alignment horizontal="center"/>
    </xf>
    <xf numFmtId="0" fontId="45" fillId="0" borderId="47" xfId="41" applyNumberFormat="1" applyFont="1" applyBorder="1" applyAlignment="1">
      <alignment horizontal="center"/>
    </xf>
    <xf numFmtId="164" fontId="45" fillId="0" borderId="98" xfId="44" applyNumberFormat="1" applyFont="1" applyBorder="1" applyAlignment="1">
      <alignment horizontal="center"/>
    </xf>
    <xf numFmtId="164" fontId="45" fillId="0" borderId="125" xfId="44" applyNumberFormat="1" applyFont="1" applyBorder="1" applyAlignment="1">
      <alignment horizontal="center"/>
    </xf>
    <xf numFmtId="164" fontId="45" fillId="0" borderId="47" xfId="44" applyNumberFormat="1" applyFont="1" applyBorder="1" applyAlignment="1">
      <alignment horizontal="center"/>
    </xf>
    <xf numFmtId="165" fontId="45" fillId="0" borderId="98" xfId="44" applyNumberFormat="1" applyFont="1" applyBorder="1" applyAlignment="1">
      <alignment horizontal="center"/>
    </xf>
    <xf numFmtId="165" fontId="45" fillId="0" borderId="125" xfId="44" applyNumberFormat="1" applyFont="1" applyBorder="1" applyAlignment="1">
      <alignment horizontal="center"/>
    </xf>
    <xf numFmtId="165" fontId="45" fillId="0" borderId="47" xfId="44" applyNumberFormat="1" applyFont="1" applyBorder="1" applyAlignment="1">
      <alignment horizontal="center"/>
    </xf>
    <xf numFmtId="0" fontId="45" fillId="0" borderId="104" xfId="41" applyFont="1" applyBorder="1" applyAlignment="1">
      <alignment horizontal="right"/>
    </xf>
    <xf numFmtId="168" fontId="45" fillId="0" borderId="99" xfId="41" applyNumberFormat="1" applyFont="1" applyBorder="1"/>
    <xf numFmtId="168" fontId="45" fillId="0" borderId="42" xfId="41" applyNumberFormat="1" applyFont="1" applyBorder="1"/>
    <xf numFmtId="168" fontId="45" fillId="0" borderId="77" xfId="41" applyNumberFormat="1" applyFont="1" applyBorder="1"/>
    <xf numFmtId="168" fontId="45" fillId="0" borderId="48" xfId="41" applyNumberFormat="1" applyFont="1" applyBorder="1"/>
    <xf numFmtId="0" fontId="45" fillId="0" borderId="99" xfId="41" applyNumberFormat="1" applyFont="1" applyBorder="1" applyAlignment="1">
      <alignment horizontal="center"/>
    </xf>
    <xf numFmtId="0" fontId="45" fillId="0" borderId="42" xfId="41" applyNumberFormat="1" applyFont="1" applyBorder="1" applyAlignment="1">
      <alignment horizontal="center"/>
    </xf>
    <xf numFmtId="0" fontId="45" fillId="0" borderId="48" xfId="41" applyNumberFormat="1" applyFont="1" applyBorder="1" applyAlignment="1">
      <alignment horizontal="center"/>
    </xf>
    <xf numFmtId="164" fontId="45" fillId="0" borderId="99" xfId="44" applyNumberFormat="1" applyFont="1" applyBorder="1" applyAlignment="1">
      <alignment horizontal="center"/>
    </xf>
    <xf numFmtId="164" fontId="45" fillId="0" borderId="42" xfId="44" applyNumberFormat="1" applyFont="1" applyBorder="1" applyAlignment="1">
      <alignment horizontal="center"/>
    </xf>
    <xf numFmtId="164" fontId="45" fillId="0" borderId="48" xfId="44" applyNumberFormat="1" applyFont="1" applyBorder="1" applyAlignment="1">
      <alignment horizontal="center"/>
    </xf>
    <xf numFmtId="165" fontId="45" fillId="0" borderId="99" xfId="44" applyNumberFormat="1" applyFont="1" applyBorder="1" applyAlignment="1">
      <alignment horizontal="center"/>
    </xf>
    <xf numFmtId="165" fontId="45" fillId="0" borderId="42" xfId="44" applyNumberFormat="1" applyFont="1" applyBorder="1" applyAlignment="1">
      <alignment horizontal="center"/>
    </xf>
    <xf numFmtId="165" fontId="45" fillId="0" borderId="48" xfId="44" applyNumberFormat="1" applyFont="1" applyBorder="1" applyAlignment="1">
      <alignment horizontal="center"/>
    </xf>
    <xf numFmtId="0" fontId="45" fillId="0" borderId="106" xfId="41" applyFont="1" applyBorder="1"/>
    <xf numFmtId="168" fontId="45" fillId="0" borderId="100" xfId="41" applyNumberFormat="1" applyFont="1" applyBorder="1"/>
    <xf numFmtId="168" fontId="45" fillId="0" borderId="117" xfId="41" applyNumberFormat="1" applyFont="1" applyBorder="1"/>
    <xf numFmtId="168" fontId="45" fillId="0" borderId="105" xfId="41" applyNumberFormat="1" applyFont="1" applyBorder="1"/>
    <xf numFmtId="168" fontId="45" fillId="0" borderId="49" xfId="41" applyNumberFormat="1" applyFont="1" applyBorder="1"/>
    <xf numFmtId="0" fontId="45" fillId="0" borderId="100" xfId="41" applyNumberFormat="1" applyFont="1" applyBorder="1" applyAlignment="1">
      <alignment horizontal="center"/>
    </xf>
    <xf numFmtId="0" fontId="45" fillId="0" borderId="117" xfId="41" applyNumberFormat="1" applyFont="1" applyBorder="1" applyAlignment="1">
      <alignment horizontal="center"/>
    </xf>
    <xf numFmtId="0" fontId="45" fillId="0" borderId="49" xfId="41" applyNumberFormat="1" applyFont="1" applyBorder="1" applyAlignment="1">
      <alignment horizontal="center"/>
    </xf>
    <xf numFmtId="164" fontId="45" fillId="0" borderId="100" xfId="44" applyNumberFormat="1" applyFont="1" applyBorder="1" applyAlignment="1">
      <alignment horizontal="center"/>
    </xf>
    <xf numFmtId="164" fontId="45" fillId="0" borderId="117" xfId="44" applyNumberFormat="1" applyFont="1" applyBorder="1" applyAlignment="1">
      <alignment horizontal="center"/>
    </xf>
    <xf numFmtId="164" fontId="45" fillId="0" borderId="49" xfId="44" applyNumberFormat="1" applyFont="1" applyBorder="1" applyAlignment="1">
      <alignment horizontal="center"/>
    </xf>
    <xf numFmtId="165" fontId="45" fillId="0" borderId="100" xfId="44" applyNumberFormat="1" applyFont="1" applyBorder="1" applyAlignment="1">
      <alignment horizontal="center"/>
    </xf>
    <xf numFmtId="165" fontId="45" fillId="0" borderId="117" xfId="44" applyNumberFormat="1" applyFont="1" applyBorder="1" applyAlignment="1">
      <alignment horizontal="center"/>
    </xf>
    <xf numFmtId="165" fontId="45" fillId="0" borderId="49" xfId="44" applyNumberFormat="1" applyFont="1" applyBorder="1" applyAlignment="1">
      <alignment horizontal="center"/>
    </xf>
    <xf numFmtId="0" fontId="45" fillId="0" borderId="102" xfId="41" applyFont="1" applyBorder="1"/>
    <xf numFmtId="0" fontId="45" fillId="0" borderId="104" xfId="41" applyFont="1" applyBorder="1"/>
    <xf numFmtId="0" fontId="45" fillId="0" borderId="130" xfId="41" applyFont="1" applyBorder="1"/>
    <xf numFmtId="164" fontId="45" fillId="0" borderId="36" xfId="44" applyNumberFormat="1" applyFont="1" applyBorder="1" applyAlignment="1">
      <alignment horizontal="center"/>
    </xf>
    <xf numFmtId="164" fontId="45" fillId="0" borderId="37" xfId="44" applyNumberFormat="1" applyFont="1" applyBorder="1" applyAlignment="1">
      <alignment horizontal="center"/>
    </xf>
    <xf numFmtId="164" fontId="45" fillId="0" borderId="35" xfId="44" applyNumberFormat="1" applyFont="1" applyBorder="1" applyAlignment="1">
      <alignment horizontal="center"/>
    </xf>
    <xf numFmtId="0" fontId="45" fillId="0" borderId="0" xfId="41" applyFont="1" applyAlignment="1">
      <alignment horizontal="left"/>
    </xf>
    <xf numFmtId="0" fontId="45" fillId="0" borderId="0" xfId="41" applyNumberFormat="1" applyFont="1"/>
    <xf numFmtId="0" fontId="45" fillId="0" borderId="28" xfId="41" applyFont="1" applyBorder="1"/>
    <xf numFmtId="0" fontId="45" fillId="0" borderId="132" xfId="41" applyFont="1" applyBorder="1"/>
    <xf numFmtId="0" fontId="45" fillId="0" borderId="124" xfId="41" applyFont="1" applyBorder="1" applyAlignment="1">
      <alignment horizontal="right"/>
    </xf>
    <xf numFmtId="0" fontId="45" fillId="0" borderId="126" xfId="41" applyFont="1" applyBorder="1" applyAlignment="1">
      <alignment horizontal="right"/>
    </xf>
    <xf numFmtId="0" fontId="45" fillId="0" borderId="127" xfId="41" applyFont="1" applyBorder="1"/>
    <xf numFmtId="0" fontId="45" fillId="0" borderId="73" xfId="41" applyFont="1" applyBorder="1"/>
    <xf numFmtId="0" fontId="45" fillId="0" borderId="126" xfId="41" applyFont="1" applyBorder="1"/>
    <xf numFmtId="0" fontId="46" fillId="0" borderId="28" xfId="41" applyFont="1" applyBorder="1"/>
    <xf numFmtId="0" fontId="46" fillId="0" borderId="50" xfId="41" applyFont="1" applyBorder="1"/>
    <xf numFmtId="0" fontId="1" fillId="0" borderId="27" xfId="41" applyFont="1" applyBorder="1"/>
    <xf numFmtId="0" fontId="46" fillId="0" borderId="26" xfId="41" applyFont="1" applyBorder="1"/>
    <xf numFmtId="0" fontId="46" fillId="0" borderId="102" xfId="41" applyFont="1" applyBorder="1"/>
    <xf numFmtId="164" fontId="46" fillId="0" borderId="111" xfId="44" applyNumberFormat="1" applyFont="1" applyBorder="1"/>
    <xf numFmtId="164" fontId="45" fillId="0" borderId="115" xfId="44" applyNumberFormat="1" applyFont="1" applyBorder="1" applyAlignment="1">
      <alignment horizontal="center"/>
    </xf>
    <xf numFmtId="0" fontId="46" fillId="0" borderId="133" xfId="41" applyFont="1" applyBorder="1" applyAlignment="1">
      <alignment horizontal="center"/>
    </xf>
    <xf numFmtId="0" fontId="46" fillId="0" borderId="134" xfId="41" applyFont="1" applyBorder="1" applyAlignment="1">
      <alignment horizontal="center"/>
    </xf>
    <xf numFmtId="10" fontId="46" fillId="0" borderId="135" xfId="44" applyNumberFormat="1" applyFont="1" applyBorder="1" applyAlignment="1">
      <alignment horizontal="center"/>
    </xf>
    <xf numFmtId="10" fontId="46" fillId="0" borderId="136" xfId="44" applyNumberFormat="1" applyFont="1" applyBorder="1" applyAlignment="1">
      <alignment horizontal="center"/>
    </xf>
    <xf numFmtId="164" fontId="45" fillId="0" borderId="137" xfId="44" applyNumberFormat="1" applyFont="1" applyBorder="1" applyAlignment="1">
      <alignment horizontal="center"/>
    </xf>
    <xf numFmtId="164" fontId="45" fillId="0" borderId="138" xfId="44" applyNumberFormat="1" applyFont="1" applyBorder="1" applyAlignment="1">
      <alignment horizontal="center"/>
    </xf>
    <xf numFmtId="164" fontId="45" fillId="0" borderId="139" xfId="44" applyNumberFormat="1" applyFont="1" applyBorder="1" applyAlignment="1">
      <alignment horizontal="center"/>
    </xf>
    <xf numFmtId="164" fontId="45" fillId="0" borderId="108" xfId="44" applyNumberFormat="1" applyFont="1" applyBorder="1" applyAlignment="1">
      <alignment horizontal="center"/>
    </xf>
    <xf numFmtId="164" fontId="45" fillId="0" borderId="140" xfId="44" applyNumberFormat="1" applyFont="1" applyBorder="1" applyAlignment="1">
      <alignment horizontal="center"/>
    </xf>
    <xf numFmtId="164" fontId="45" fillId="0" borderId="141" xfId="44" applyNumberFormat="1" applyFont="1" applyBorder="1" applyAlignment="1">
      <alignment horizontal="center"/>
    </xf>
    <xf numFmtId="0" fontId="46" fillId="0" borderId="73" xfId="41" applyFont="1" applyBorder="1"/>
    <xf numFmtId="1" fontId="45" fillId="0" borderId="115" xfId="41" applyNumberFormat="1" applyFont="1" applyFill="1" applyBorder="1"/>
    <xf numFmtId="1" fontId="45" fillId="0" borderId="42" xfId="41" applyNumberFormat="1" applyFont="1" applyFill="1" applyBorder="1"/>
    <xf numFmtId="1" fontId="45" fillId="0" borderId="117" xfId="41" applyNumberFormat="1" applyFont="1" applyFill="1" applyBorder="1"/>
    <xf numFmtId="10" fontId="46"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0"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1" fillId="26" borderId="0" xfId="0" applyFont="1" applyFill="1"/>
    <xf numFmtId="0" fontId="46" fillId="0" borderId="155" xfId="41" applyFont="1" applyBorder="1" applyAlignment="1">
      <alignment horizontal="center"/>
    </xf>
    <xf numFmtId="10" fontId="46" fillId="0" borderId="156" xfId="44" applyNumberFormat="1" applyFont="1" applyBorder="1" applyAlignment="1">
      <alignment horizontal="center"/>
    </xf>
    <xf numFmtId="164" fontId="45" fillId="0" borderId="157" xfId="44" applyNumberFormat="1" applyFont="1" applyBorder="1" applyAlignment="1">
      <alignment horizontal="center"/>
    </xf>
    <xf numFmtId="164" fontId="45" fillId="0" borderId="109" xfId="44" applyNumberFormat="1" applyFont="1" applyBorder="1" applyAlignment="1">
      <alignment horizontal="center"/>
    </xf>
    <xf numFmtId="164" fontId="45" fillId="0" borderId="158" xfId="44" applyNumberFormat="1" applyFont="1" applyBorder="1" applyAlignment="1">
      <alignment horizontal="center"/>
    </xf>
    <xf numFmtId="0" fontId="45" fillId="0" borderId="10" xfId="41" applyFont="1" applyBorder="1"/>
    <xf numFmtId="0" fontId="46" fillId="0" borderId="45" xfId="41" applyFont="1" applyBorder="1"/>
    <xf numFmtId="164" fontId="46" fillId="0" borderId="110" xfId="44" applyNumberFormat="1" applyFont="1" applyBorder="1"/>
    <xf numFmtId="0" fontId="45" fillId="0" borderId="120" xfId="41" applyFont="1" applyBorder="1"/>
    <xf numFmtId="10" fontId="46" fillId="0" borderId="120" xfId="41" applyNumberFormat="1" applyFont="1" applyBorder="1"/>
    <xf numFmtId="164" fontId="45" fillId="0" borderId="110" xfId="44" applyNumberFormat="1" applyFont="1" applyBorder="1" applyAlignment="1">
      <alignment horizontal="center"/>
    </xf>
    <xf numFmtId="0" fontId="46"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7"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7"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54"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8" fillId="31" borderId="0" xfId="0" applyFont="1" applyFill="1"/>
    <xf numFmtId="0" fontId="58" fillId="0" borderId="0" xfId="0" applyFont="1"/>
    <xf numFmtId="0" fontId="60" fillId="0" borderId="0" xfId="0" applyFont="1"/>
    <xf numFmtId="3" fontId="58" fillId="0" borderId="0" xfId="0" applyNumberFormat="1" applyFont="1"/>
    <xf numFmtId="3" fontId="61" fillId="0" borderId="0" xfId="0" applyNumberFormat="1" applyFont="1" applyAlignment="1"/>
    <xf numFmtId="0" fontId="62" fillId="0" borderId="0" xfId="0" applyFont="1"/>
    <xf numFmtId="168" fontId="58" fillId="0" borderId="0" xfId="0" applyNumberFormat="1" applyFont="1" applyFill="1" applyBorder="1"/>
    <xf numFmtId="0" fontId="63" fillId="0" borderId="27" xfId="0" applyFont="1" applyBorder="1"/>
    <xf numFmtId="0" fontId="63" fillId="0" borderId="43" xfId="0" applyFont="1" applyBorder="1"/>
    <xf numFmtId="0" fontId="63" fillId="0" borderId="44" xfId="0" applyFont="1" applyBorder="1"/>
    <xf numFmtId="0" fontId="65" fillId="0" borderId="45" xfId="0" applyFont="1" applyBorder="1" applyAlignment="1">
      <alignment horizontal="center"/>
    </xf>
    <xf numFmtId="0" fontId="66" fillId="0" borderId="51" xfId="0" applyFont="1" applyFill="1" applyBorder="1" applyAlignment="1">
      <alignment horizontal="center" wrapText="1"/>
    </xf>
    <xf numFmtId="0" fontId="66" fillId="0" borderId="46" xfId="0" applyFont="1" applyFill="1" applyBorder="1" applyAlignment="1">
      <alignment horizontal="center" wrapText="1"/>
    </xf>
    <xf numFmtId="0" fontId="66" fillId="0" borderId="52" xfId="0" applyFont="1" applyFill="1" applyBorder="1" applyAlignment="1">
      <alignment horizontal="center" wrapText="1"/>
    </xf>
    <xf numFmtId="0" fontId="66" fillId="0" borderId="50" xfId="0" applyFont="1" applyFill="1" applyBorder="1" applyAlignment="1">
      <alignment horizontal="center" wrapText="1"/>
    </xf>
    <xf numFmtId="0" fontId="66" fillId="0" borderId="0" xfId="0" applyFont="1" applyFill="1" applyBorder="1" applyAlignment="1">
      <alignment horizontal="center" wrapText="1"/>
    </xf>
    <xf numFmtId="0" fontId="64" fillId="0" borderId="98" xfId="41" applyFont="1" applyBorder="1" applyAlignment="1">
      <alignment horizontal="right"/>
    </xf>
    <xf numFmtId="0" fontId="67" fillId="0" borderId="102" xfId="41" applyFont="1" applyFill="1" applyBorder="1"/>
    <xf numFmtId="0" fontId="67" fillId="0" borderId="98" xfId="41" applyFont="1" applyFill="1" applyBorder="1"/>
    <xf numFmtId="0" fontId="67" fillId="0" borderId="47" xfId="41" applyFont="1" applyFill="1" applyBorder="1"/>
    <xf numFmtId="0" fontId="67" fillId="0" borderId="103" xfId="41" applyFont="1" applyBorder="1"/>
    <xf numFmtId="0" fontId="67" fillId="0" borderId="101" xfId="41" applyFont="1" applyBorder="1"/>
    <xf numFmtId="0" fontId="63" fillId="0" borderId="0" xfId="0" applyFont="1"/>
    <xf numFmtId="0" fontId="64" fillId="0" borderId="99" xfId="41" applyFont="1" applyBorder="1" applyAlignment="1">
      <alignment horizontal="right"/>
    </xf>
    <xf numFmtId="0" fontId="64" fillId="0" borderId="100" xfId="41" applyFont="1" applyBorder="1" applyAlignment="1">
      <alignment horizontal="right"/>
    </xf>
    <xf numFmtId="0" fontId="68" fillId="0" borderId="0" xfId="0" applyFont="1" applyAlignment="1">
      <alignment horizontal="left" vertical="center"/>
    </xf>
    <xf numFmtId="0" fontId="69" fillId="0" borderId="0" xfId="0" applyFont="1" applyAlignment="1">
      <alignment horizontal="centerContinuous"/>
    </xf>
    <xf numFmtId="0" fontId="69" fillId="0" borderId="0" xfId="0" applyFont="1" applyAlignment="1">
      <alignment horizontal="left" vertical="center" indent="1"/>
    </xf>
    <xf numFmtId="0" fontId="63" fillId="0" borderId="29" xfId="0" applyFont="1" applyBorder="1" applyAlignment="1">
      <alignment horizontal="center"/>
    </xf>
    <xf numFmtId="168" fontId="63" fillId="0" borderId="15" xfId="0" applyNumberFormat="1" applyFont="1" applyBorder="1" applyAlignment="1">
      <alignment horizontal="center"/>
    </xf>
    <xf numFmtId="0" fontId="63" fillId="0" borderId="30" xfId="0" applyFont="1" applyBorder="1" applyAlignment="1">
      <alignment horizontal="center"/>
    </xf>
    <xf numFmtId="168" fontId="63" fillId="0" borderId="17" xfId="0" applyNumberFormat="1" applyFont="1" applyBorder="1" applyAlignment="1">
      <alignment horizontal="center"/>
    </xf>
    <xf numFmtId="0" fontId="63" fillId="0" borderId="31" xfId="0" applyFont="1" applyBorder="1" applyAlignment="1">
      <alignment horizontal="center"/>
    </xf>
    <xf numFmtId="168" fontId="63" fillId="0" borderId="12" xfId="0" applyNumberFormat="1" applyFont="1" applyBorder="1" applyAlignment="1">
      <alignment horizontal="center"/>
    </xf>
    <xf numFmtId="168" fontId="63" fillId="0" borderId="15" xfId="0" applyNumberFormat="1" applyFont="1" applyFill="1" applyBorder="1" applyAlignment="1">
      <alignment horizontal="center"/>
    </xf>
    <xf numFmtId="0" fontId="63" fillId="0" borderId="32" xfId="0" applyFont="1" applyBorder="1" applyAlignment="1">
      <alignment horizontal="center"/>
    </xf>
    <xf numFmtId="168" fontId="63" fillId="0" borderId="20" xfId="0" applyNumberFormat="1" applyFont="1" applyBorder="1" applyAlignment="1">
      <alignment horizontal="center"/>
    </xf>
    <xf numFmtId="0" fontId="63" fillId="0" borderId="33" xfId="0" applyFont="1" applyBorder="1" applyAlignment="1">
      <alignment horizontal="center"/>
    </xf>
    <xf numFmtId="168" fontId="63" fillId="0" borderId="21" xfId="0" applyNumberFormat="1" applyFont="1" applyBorder="1" applyAlignment="1">
      <alignment horizontal="center"/>
    </xf>
    <xf numFmtId="0" fontId="58" fillId="0" borderId="0" xfId="0" applyFont="1" applyAlignment="1">
      <alignment horizontal="center"/>
    </xf>
    <xf numFmtId="3" fontId="58" fillId="0" borderId="0" xfId="0" applyNumberFormat="1" applyFont="1" applyAlignment="1">
      <alignment horizontal="center"/>
    </xf>
    <xf numFmtId="0" fontId="58" fillId="24" borderId="53" xfId="0" applyFont="1" applyFill="1" applyBorder="1"/>
    <xf numFmtId="0" fontId="58" fillId="0" borderId="0" xfId="0" quotePrefix="1" applyFont="1" applyBorder="1"/>
    <xf numFmtId="0" fontId="58" fillId="0" borderId="0" xfId="0" applyFont="1" applyBorder="1"/>
    <xf numFmtId="5" fontId="58" fillId="0" borderId="0" xfId="50" applyNumberFormat="1" applyFont="1"/>
    <xf numFmtId="164" fontId="45" fillId="0" borderId="0" xfId="41" applyNumberFormat="1" applyFont="1"/>
    <xf numFmtId="0" fontId="45" fillId="0" borderId="0" xfId="41" applyFont="1" applyFill="1" applyAlignment="1">
      <alignment horizontal="right"/>
    </xf>
    <xf numFmtId="0" fontId="64"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0"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0" fillId="0" borderId="12" xfId="0" applyNumberFormat="1" applyFont="1" applyFill="1" applyBorder="1" applyAlignment="1" applyProtection="1">
      <alignment horizontal="center"/>
    </xf>
    <xf numFmtId="170" fontId="70" fillId="0" borderId="15" xfId="0" applyNumberFormat="1" applyFont="1" applyFill="1" applyBorder="1" applyAlignment="1" applyProtection="1">
      <alignment horizontal="center"/>
    </xf>
    <xf numFmtId="2" fontId="70"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45" fillId="25" borderId="183" xfId="41" applyFont="1" applyFill="1" applyBorder="1"/>
    <xf numFmtId="0" fontId="45" fillId="0" borderId="183" xfId="41" applyFont="1" applyFill="1" applyBorder="1"/>
    <xf numFmtId="168" fontId="45" fillId="0" borderId="183" xfId="41" applyNumberFormat="1" applyFont="1" applyFill="1" applyBorder="1"/>
    <xf numFmtId="168" fontId="45" fillId="25" borderId="177" xfId="44" applyNumberFormat="1" applyFont="1" applyFill="1" applyBorder="1"/>
    <xf numFmtId="0" fontId="45" fillId="0" borderId="34" xfId="41" applyFont="1" applyFill="1" applyBorder="1"/>
    <xf numFmtId="0" fontId="45" fillId="0" borderId="59" xfId="41" applyFont="1" applyFill="1" applyBorder="1"/>
    <xf numFmtId="0" fontId="45" fillId="0" borderId="70" xfId="41" applyFont="1" applyFill="1" applyBorder="1" applyAlignment="1"/>
    <xf numFmtId="0" fontId="45" fillId="0" borderId="71" xfId="41" applyFont="1" applyFill="1" applyBorder="1" applyAlignment="1"/>
    <xf numFmtId="0" fontId="45" fillId="0" borderId="73" xfId="41" applyFont="1" applyFill="1" applyBorder="1" applyAlignment="1"/>
    <xf numFmtId="0" fontId="45" fillId="0" borderId="74" xfId="41" applyFont="1" applyFill="1" applyBorder="1" applyAlignment="1"/>
    <xf numFmtId="0" fontId="45" fillId="0" borderId="73" xfId="41" applyFont="1" applyFill="1" applyBorder="1" applyAlignment="1">
      <alignment horizontal="left"/>
    </xf>
    <xf numFmtId="0" fontId="45"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45" fillId="0" borderId="77" xfId="41" applyNumberFormat="1" applyFont="1" applyBorder="1" applyAlignment="1">
      <alignment horizontal="center"/>
    </xf>
    <xf numFmtId="0" fontId="45" fillId="0" borderId="105" xfId="41" applyNumberFormat="1" applyFont="1" applyBorder="1" applyAlignment="1">
      <alignment horizontal="center"/>
    </xf>
    <xf numFmtId="165" fontId="45" fillId="0" borderId="103" xfId="44" applyNumberFormat="1" applyFont="1" applyBorder="1" applyAlignment="1">
      <alignment horizontal="center"/>
    </xf>
    <xf numFmtId="165" fontId="45" fillId="0" borderId="79" xfId="44" applyNumberFormat="1" applyFont="1" applyBorder="1" applyAlignment="1">
      <alignment horizontal="center"/>
    </xf>
    <xf numFmtId="165" fontId="45" fillId="0" borderId="107" xfId="44" applyNumberFormat="1" applyFont="1" applyBorder="1" applyAlignment="1">
      <alignment horizontal="center"/>
    </xf>
    <xf numFmtId="164" fontId="45" fillId="0" borderId="77" xfId="44" applyNumberFormat="1" applyFont="1" applyBorder="1" applyAlignment="1">
      <alignment horizontal="center"/>
    </xf>
    <xf numFmtId="165" fontId="45" fillId="0" borderId="77" xfId="44" applyNumberFormat="1" applyFont="1" applyBorder="1" applyAlignment="1">
      <alignment horizontal="center"/>
    </xf>
    <xf numFmtId="165" fontId="45" fillId="0" borderId="105" xfId="44" applyNumberFormat="1" applyFont="1" applyBorder="1" applyAlignment="1">
      <alignment horizontal="center"/>
    </xf>
    <xf numFmtId="0" fontId="62" fillId="0" borderId="51" xfId="0" applyFont="1" applyBorder="1" applyAlignment="1">
      <alignment wrapText="1"/>
    </xf>
    <xf numFmtId="0" fontId="62" fillId="0" borderId="95" xfId="0" applyFont="1" applyBorder="1" applyAlignment="1">
      <alignment wrapText="1"/>
    </xf>
    <xf numFmtId="0" fontId="62" fillId="0" borderId="46" xfId="0" applyFont="1" applyBorder="1" applyAlignment="1"/>
    <xf numFmtId="0" fontId="64" fillId="0" borderId="118" xfId="0" applyFont="1" applyBorder="1" applyAlignment="1"/>
    <xf numFmtId="0" fontId="64" fillId="0" borderId="121" xfId="0" applyFont="1" applyBorder="1" applyAlignment="1">
      <alignment horizontal="center" vertical="center"/>
    </xf>
    <xf numFmtId="0" fontId="64" fillId="0" borderId="46" xfId="0" applyFont="1" applyBorder="1" applyAlignment="1">
      <alignment horizontal="center" vertical="center" wrapText="1"/>
    </xf>
    <xf numFmtId="0" fontId="66" fillId="0" borderId="45" xfId="0" applyFont="1" applyBorder="1" applyAlignment="1">
      <alignment horizontal="center" vertical="center" wrapText="1"/>
    </xf>
    <xf numFmtId="0" fontId="66" fillId="0" borderId="50" xfId="0" applyFont="1" applyBorder="1" applyAlignment="1">
      <alignment horizontal="center" vertical="center" wrapText="1"/>
    </xf>
    <xf numFmtId="0" fontId="34" fillId="0" borderId="41" xfId="41" applyFont="1" applyBorder="1" applyAlignment="1"/>
    <xf numFmtId="0" fontId="45" fillId="0" borderId="102" xfId="41" applyFont="1" applyBorder="1" applyAlignment="1">
      <alignment horizontal="right"/>
    </xf>
    <xf numFmtId="0" fontId="45" fillId="0" borderId="101" xfId="41" applyNumberFormat="1" applyFont="1" applyBorder="1" applyAlignment="1">
      <alignment horizontal="center"/>
    </xf>
    <xf numFmtId="165" fontId="45" fillId="0" borderId="101" xfId="44" applyNumberFormat="1" applyFont="1" applyBorder="1" applyAlignment="1">
      <alignment horizontal="center"/>
    </xf>
    <xf numFmtId="0" fontId="71"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45" fillId="0" borderId="126" xfId="41" applyFont="1" applyBorder="1" applyAlignment="1"/>
    <xf numFmtId="0" fontId="45" fillId="0" borderId="78" xfId="41" applyFont="1" applyBorder="1" applyAlignment="1"/>
    <xf numFmtId="0" fontId="45" fillId="0" borderId="182" xfId="41" applyFont="1" applyBorder="1"/>
    <xf numFmtId="168" fontId="45" fillId="0" borderId="11" xfId="41" applyNumberFormat="1" applyFont="1" applyBorder="1"/>
    <xf numFmtId="168" fontId="45" fillId="0" borderId="173" xfId="41" applyNumberFormat="1" applyFont="1" applyBorder="1"/>
    <xf numFmtId="0" fontId="45" fillId="0" borderId="10" xfId="41" applyNumberFormat="1" applyFont="1" applyBorder="1" applyAlignment="1">
      <alignment horizontal="center"/>
    </xf>
    <xf numFmtId="0" fontId="45" fillId="0" borderId="11" xfId="41" applyNumberFormat="1" applyFont="1" applyBorder="1" applyAlignment="1">
      <alignment horizontal="center"/>
    </xf>
    <xf numFmtId="0" fontId="45" fillId="0" borderId="173" xfId="41" applyNumberFormat="1" applyFont="1" applyBorder="1" applyAlignment="1">
      <alignment horizontal="center"/>
    </xf>
    <xf numFmtId="164" fontId="45" fillId="0" borderId="10" xfId="44" applyNumberFormat="1" applyFont="1" applyBorder="1" applyAlignment="1">
      <alignment horizontal="center"/>
    </xf>
    <xf numFmtId="164" fontId="45" fillId="0" borderId="11" xfId="44" applyNumberFormat="1" applyFont="1" applyBorder="1" applyAlignment="1">
      <alignment horizontal="center"/>
    </xf>
    <xf numFmtId="164" fontId="45" fillId="0" borderId="132" xfId="44" applyNumberFormat="1" applyFont="1" applyBorder="1" applyAlignment="1">
      <alignment horizontal="center"/>
    </xf>
    <xf numFmtId="165" fontId="45" fillId="0" borderId="174" xfId="44" applyNumberFormat="1" applyFont="1" applyBorder="1" applyAlignment="1">
      <alignment horizontal="center"/>
    </xf>
    <xf numFmtId="165" fontId="45" fillId="0" borderId="11" xfId="44" applyNumberFormat="1" applyFont="1" applyBorder="1" applyAlignment="1">
      <alignment horizontal="center"/>
    </xf>
    <xf numFmtId="165" fontId="45" fillId="0" borderId="173" xfId="44" applyNumberFormat="1" applyFont="1" applyBorder="1" applyAlignment="1">
      <alignment horizontal="center"/>
    </xf>
    <xf numFmtId="165" fontId="45" fillId="0" borderId="10" xfId="44" applyNumberFormat="1" applyFont="1" applyBorder="1" applyAlignment="1">
      <alignment horizontal="center"/>
    </xf>
    <xf numFmtId="168" fontId="45" fillId="0" borderId="176" xfId="41" applyNumberFormat="1" applyFont="1" applyBorder="1"/>
    <xf numFmtId="168" fontId="45" fillId="0" borderId="183" xfId="41" applyNumberFormat="1" applyFont="1" applyBorder="1"/>
    <xf numFmtId="168" fontId="45" fillId="0" borderId="180" xfId="41" applyNumberFormat="1" applyFont="1" applyBorder="1"/>
    <xf numFmtId="0" fontId="45" fillId="0" borderId="176" xfId="41" applyNumberFormat="1" applyFont="1" applyBorder="1" applyAlignment="1">
      <alignment horizontal="center"/>
    </xf>
    <xf numFmtId="0" fontId="45" fillId="0" borderId="183" xfId="41" applyNumberFormat="1" applyFont="1" applyBorder="1" applyAlignment="1">
      <alignment horizontal="center"/>
    </xf>
    <xf numFmtId="0" fontId="45" fillId="0" borderId="180" xfId="41" applyNumberFormat="1" applyFont="1" applyBorder="1" applyAlignment="1">
      <alignment horizontal="center"/>
    </xf>
    <xf numFmtId="164" fontId="45" fillId="0" borderId="176" xfId="44" applyNumberFormat="1" applyFont="1" applyBorder="1" applyAlignment="1">
      <alignment horizontal="center"/>
    </xf>
    <xf numFmtId="164" fontId="45" fillId="0" borderId="183" xfId="44" applyNumberFormat="1" applyFont="1" applyBorder="1" applyAlignment="1">
      <alignment horizontal="center"/>
    </xf>
    <xf numFmtId="164" fontId="45" fillId="0" borderId="177" xfId="44" applyNumberFormat="1" applyFont="1" applyBorder="1" applyAlignment="1">
      <alignment horizontal="center"/>
    </xf>
    <xf numFmtId="165" fontId="45" fillId="0" borderId="184" xfId="44" applyNumberFormat="1" applyFont="1" applyBorder="1" applyAlignment="1">
      <alignment horizontal="center"/>
    </xf>
    <xf numFmtId="165" fontId="45" fillId="0" borderId="183" xfId="44" applyNumberFormat="1" applyFont="1" applyBorder="1" applyAlignment="1">
      <alignment horizontal="center"/>
    </xf>
    <xf numFmtId="165" fontId="45" fillId="0" borderId="180" xfId="44" applyNumberFormat="1" applyFont="1" applyBorder="1" applyAlignment="1">
      <alignment horizontal="center"/>
    </xf>
    <xf numFmtId="165" fontId="45" fillId="0" borderId="176" xfId="44" applyNumberFormat="1" applyFont="1" applyBorder="1" applyAlignment="1">
      <alignment horizontal="center"/>
    </xf>
    <xf numFmtId="164" fontId="45" fillId="0" borderId="101" xfId="44" applyNumberFormat="1" applyFont="1" applyBorder="1" applyAlignment="1">
      <alignment horizontal="center"/>
    </xf>
    <xf numFmtId="164" fontId="45"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8"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45" fillId="0" borderId="42" xfId="50" applyNumberFormat="1" applyFont="1" applyFill="1" applyBorder="1"/>
    <xf numFmtId="168" fontId="45" fillId="0" borderId="48" xfId="50" applyNumberFormat="1" applyFont="1" applyFill="1" applyBorder="1"/>
    <xf numFmtId="168" fontId="45" fillId="0" borderId="117" xfId="50" applyNumberFormat="1" applyFont="1" applyFill="1" applyBorder="1"/>
    <xf numFmtId="168" fontId="45"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45" fillId="0" borderId="115" xfId="41" applyFont="1" applyFill="1" applyBorder="1"/>
    <xf numFmtId="0" fontId="45" fillId="25" borderId="115" xfId="41" applyFont="1" applyFill="1" applyBorder="1"/>
    <xf numFmtId="0" fontId="34" fillId="0" borderId="46" xfId="41" applyFont="1" applyBorder="1" applyAlignment="1"/>
    <xf numFmtId="0" fontId="45" fillId="0" borderId="120" xfId="41" applyNumberFormat="1" applyFont="1" applyBorder="1" applyAlignment="1">
      <alignment horizontal="center"/>
    </xf>
    <xf numFmtId="0" fontId="45" fillId="0" borderId="39" xfId="41" applyNumberFormat="1" applyFont="1" applyBorder="1" applyAlignment="1">
      <alignment horizontal="center"/>
    </xf>
    <xf numFmtId="0" fontId="45" fillId="0" borderId="99" xfId="41" applyFont="1" applyFill="1" applyBorder="1" applyAlignment="1"/>
    <xf numFmtId="0" fontId="45" fillId="0" borderId="48" xfId="41" applyFont="1" applyFill="1" applyBorder="1" applyAlignment="1"/>
    <xf numFmtId="0" fontId="45" fillId="0" borderId="99" xfId="41" applyFont="1" applyFill="1" applyBorder="1" applyAlignment="1">
      <alignment horizontal="left"/>
    </xf>
    <xf numFmtId="0" fontId="45" fillId="0" borderId="48" xfId="41" applyFont="1" applyFill="1" applyBorder="1" applyAlignment="1">
      <alignment horizontal="left"/>
    </xf>
    <xf numFmtId="0" fontId="45" fillId="0" borderId="47" xfId="41" applyFont="1" applyFill="1" applyBorder="1" applyAlignment="1"/>
    <xf numFmtId="0" fontId="45"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45" fillId="0" borderId="103" xfId="41" applyNumberFormat="1" applyFont="1" applyBorder="1"/>
    <xf numFmtId="168" fontId="45" fillId="0" borderId="79" xfId="41" applyNumberFormat="1" applyFont="1" applyBorder="1"/>
    <xf numFmtId="168" fontId="45" fillId="0" borderId="174" xfId="41" applyNumberFormat="1" applyFont="1" applyBorder="1"/>
    <xf numFmtId="168" fontId="45" fillId="0" borderId="184" xfId="41" applyNumberFormat="1" applyFont="1" applyBorder="1"/>
    <xf numFmtId="168" fontId="45" fillId="0" borderId="107" xfId="41" applyNumberFormat="1" applyFont="1" applyBorder="1"/>
    <xf numFmtId="0" fontId="45" fillId="25" borderId="184" xfId="41" applyFont="1" applyFill="1" applyBorder="1"/>
    <xf numFmtId="0" fontId="45" fillId="0" borderId="79" xfId="41" applyFont="1" applyFill="1" applyBorder="1"/>
    <xf numFmtId="0" fontId="45" fillId="0" borderId="107" xfId="41" applyFont="1" applyFill="1" applyBorder="1"/>
    <xf numFmtId="0" fontId="34" fillId="0" borderId="119" xfId="41" applyFont="1" applyBorder="1" applyAlignment="1">
      <alignment horizontal="center" wrapText="1"/>
    </xf>
    <xf numFmtId="0" fontId="45" fillId="25" borderId="72" xfId="41" applyFont="1" applyFill="1" applyBorder="1"/>
    <xf numFmtId="0" fontId="45" fillId="0" borderId="129" xfId="41" applyFont="1" applyFill="1" applyBorder="1"/>
    <xf numFmtId="0" fontId="45" fillId="0" borderId="128" xfId="41" applyFont="1" applyFill="1" applyBorder="1"/>
    <xf numFmtId="168" fontId="45" fillId="0" borderId="177" xfId="41" applyNumberFormat="1" applyFont="1" applyBorder="1"/>
    <xf numFmtId="0" fontId="45" fillId="0" borderId="51" xfId="41" applyFont="1" applyBorder="1" applyAlignment="1">
      <alignment horizontal="right"/>
    </xf>
    <xf numFmtId="0" fontId="26" fillId="0" borderId="0" xfId="0" applyFont="1" applyBorder="1" applyAlignment="1">
      <alignment horizontal="left" vertical="center"/>
    </xf>
    <xf numFmtId="3" fontId="61" fillId="0" borderId="53" xfId="0" applyNumberFormat="1" applyFont="1" applyBorder="1" applyAlignment="1"/>
    <xf numFmtId="0" fontId="60" fillId="0" borderId="39" xfId="0" applyFont="1" applyBorder="1" applyAlignment="1">
      <alignment horizontal="center"/>
    </xf>
    <xf numFmtId="3" fontId="60" fillId="0" borderId="39" xfId="0" applyNumberFormat="1" applyFont="1" applyBorder="1" applyAlignment="1">
      <alignment horizontal="center"/>
    </xf>
    <xf numFmtId="0" fontId="60" fillId="0" borderId="88" xfId="0" applyFont="1" applyBorder="1" applyAlignment="1">
      <alignment horizontal="center"/>
    </xf>
    <xf numFmtId="3" fontId="60" fillId="0" borderId="88" xfId="0" applyNumberFormat="1" applyFont="1" applyBorder="1" applyAlignment="1">
      <alignment horizontal="center"/>
    </xf>
    <xf numFmtId="0" fontId="60" fillId="0" borderId="89" xfId="0" applyFont="1" applyBorder="1" applyAlignment="1">
      <alignment horizontal="center"/>
    </xf>
    <xf numFmtId="0" fontId="58" fillId="0" borderId="87" xfId="0" applyFont="1" applyBorder="1"/>
    <xf numFmtId="0" fontId="58" fillId="0" borderId="90" xfId="0" applyFont="1" applyBorder="1"/>
    <xf numFmtId="164" fontId="45" fillId="0" borderId="103" xfId="44" applyNumberFormat="1" applyFont="1" applyBorder="1" applyAlignment="1">
      <alignment horizontal="center"/>
    </xf>
    <xf numFmtId="164" fontId="45" fillId="0" borderId="79" xfId="44" applyNumberFormat="1" applyFont="1" applyBorder="1" applyAlignment="1">
      <alignment horizontal="center"/>
    </xf>
    <xf numFmtId="164" fontId="45" fillId="0" borderId="174" xfId="44" applyNumberFormat="1" applyFont="1" applyBorder="1" applyAlignment="1">
      <alignment horizontal="center"/>
    </xf>
    <xf numFmtId="164" fontId="45" fillId="0" borderId="105" xfId="44" applyNumberFormat="1" applyFont="1" applyBorder="1" applyAlignment="1">
      <alignment horizontal="center"/>
    </xf>
    <xf numFmtId="0" fontId="60" fillId="0" borderId="53" xfId="0" applyFont="1" applyBorder="1"/>
    <xf numFmtId="0" fontId="73" fillId="0" borderId="53" xfId="0" applyFont="1" applyBorder="1" applyAlignment="1">
      <alignment horizontal="center"/>
    </xf>
    <xf numFmtId="0" fontId="60" fillId="0" borderId="87" xfId="0" applyFont="1" applyBorder="1"/>
    <xf numFmtId="0" fontId="60" fillId="0" borderId="40" xfId="0" applyFont="1" applyBorder="1" applyAlignment="1">
      <alignment horizontal="center"/>
    </xf>
    <xf numFmtId="0" fontId="60" fillId="0" borderId="26" xfId="0" applyFont="1" applyBorder="1" applyAlignment="1">
      <alignment horizontal="center"/>
    </xf>
    <xf numFmtId="0" fontId="60" fillId="0" borderId="211" xfId="0" applyFont="1" applyBorder="1" applyAlignment="1">
      <alignment horizontal="center"/>
    </xf>
    <xf numFmtId="0" fontId="25" fillId="0" borderId="0" xfId="0" applyFont="1" applyAlignment="1">
      <alignment horizontal="right"/>
    </xf>
    <xf numFmtId="0" fontId="45" fillId="0" borderId="28" xfId="41" applyFont="1" applyBorder="1" applyAlignment="1">
      <alignment horizontal="right"/>
    </xf>
    <xf numFmtId="9" fontId="45" fillId="0" borderId="0" xfId="44" applyFont="1"/>
    <xf numFmtId="0" fontId="74" fillId="32" borderId="53" xfId="0" applyFont="1" applyFill="1" applyBorder="1" applyAlignment="1">
      <alignment horizontal="center"/>
    </xf>
    <xf numFmtId="0" fontId="58" fillId="0" borderId="0" xfId="0" applyFont="1" applyFill="1" applyBorder="1"/>
    <xf numFmtId="3" fontId="59" fillId="0" borderId="0" xfId="0" applyNumberFormat="1" applyFont="1" applyBorder="1" applyAlignment="1"/>
    <xf numFmtId="0" fontId="60" fillId="0" borderId="0" xfId="0" applyFont="1" applyBorder="1"/>
    <xf numFmtId="3" fontId="58" fillId="0" borderId="0" xfId="0" applyNumberFormat="1" applyFont="1" applyBorder="1"/>
    <xf numFmtId="0" fontId="45" fillId="0" borderId="167" xfId="41" applyFont="1" applyBorder="1" applyAlignment="1">
      <alignment horizontal="right"/>
    </xf>
    <xf numFmtId="168" fontId="45" fillId="0" borderId="120" xfId="41" applyNumberFormat="1" applyFont="1" applyBorder="1"/>
    <xf numFmtId="168" fontId="45" fillId="0" borderId="39" xfId="41" applyNumberFormat="1" applyFont="1" applyBorder="1"/>
    <xf numFmtId="168" fontId="45" fillId="0" borderId="26" xfId="41" applyNumberFormat="1" applyFont="1" applyBorder="1"/>
    <xf numFmtId="168" fontId="45" fillId="0" borderId="36" xfId="41" applyNumberFormat="1" applyFont="1" applyBorder="1"/>
    <xf numFmtId="168" fontId="45" fillId="0" borderId="37" xfId="41" applyNumberFormat="1" applyFont="1" applyBorder="1"/>
    <xf numFmtId="168" fontId="45" fillId="0" borderId="35" xfId="41" applyNumberFormat="1" applyFont="1" applyBorder="1"/>
    <xf numFmtId="9" fontId="45" fillId="0" borderId="98" xfId="44" applyFont="1" applyBorder="1" applyAlignment="1">
      <alignment horizontal="right"/>
    </xf>
    <xf numFmtId="9" fontId="45" fillId="0" borderId="125" xfId="44" applyFont="1" applyBorder="1" applyAlignment="1">
      <alignment horizontal="right"/>
    </xf>
    <xf numFmtId="9" fontId="45" fillId="0" borderId="47" xfId="44" applyFont="1" applyBorder="1" applyAlignment="1">
      <alignment horizontal="right"/>
    </xf>
    <xf numFmtId="168" fontId="45" fillId="0" borderId="0" xfId="41" applyNumberFormat="1" applyFont="1" applyFill="1"/>
    <xf numFmtId="0" fontId="45" fillId="0" borderId="0" xfId="41" applyFont="1" applyFill="1" applyAlignment="1">
      <alignment horizontal="left" indent="1"/>
    </xf>
    <xf numFmtId="0" fontId="75" fillId="0" borderId="0" xfId="41" applyFont="1" applyFill="1"/>
    <xf numFmtId="0" fontId="45" fillId="30" borderId="29" xfId="41" applyFont="1" applyFill="1" applyBorder="1"/>
    <xf numFmtId="0" fontId="45" fillId="30" borderId="83" xfId="41" applyFont="1" applyFill="1" applyBorder="1"/>
    <xf numFmtId="0" fontId="45" fillId="30" borderId="63" xfId="41" applyFont="1" applyFill="1" applyBorder="1"/>
    <xf numFmtId="0" fontId="45" fillId="30" borderId="30" xfId="41" applyFont="1" applyFill="1" applyBorder="1"/>
    <xf numFmtId="0" fontId="45" fillId="30" borderId="188" xfId="41" applyFont="1" applyFill="1" applyBorder="1"/>
    <xf numFmtId="0" fontId="45" fillId="30" borderId="210" xfId="41" applyFont="1" applyFill="1" applyBorder="1"/>
    <xf numFmtId="0" fontId="45" fillId="30" borderId="29" xfId="41" applyFont="1" applyFill="1" applyBorder="1" applyAlignment="1">
      <alignment horizontal="right"/>
    </xf>
    <xf numFmtId="0" fontId="45" fillId="30" borderId="83" xfId="41" applyFont="1" applyFill="1" applyBorder="1" applyAlignment="1">
      <alignment horizontal="right"/>
    </xf>
    <xf numFmtId="0" fontId="45" fillId="30" borderId="30" xfId="41" applyFont="1" applyFill="1" applyBorder="1" applyAlignment="1">
      <alignment horizontal="right"/>
    </xf>
    <xf numFmtId="0" fontId="45" fillId="30" borderId="188" xfId="41" applyNumberFormat="1" applyFont="1" applyFill="1" applyBorder="1"/>
    <xf numFmtId="0" fontId="45" fillId="30" borderId="83" xfId="41" applyFont="1" applyFill="1" applyBorder="1" applyAlignment="1">
      <alignment horizontal="left"/>
    </xf>
    <xf numFmtId="0" fontId="45" fillId="30" borderId="188" xfId="41" applyFont="1" applyFill="1" applyBorder="1" applyAlignment="1">
      <alignment horizontal="left"/>
    </xf>
    <xf numFmtId="0" fontId="45" fillId="30" borderId="83" xfId="41" applyFont="1" applyFill="1" applyBorder="1" applyAlignment="1">
      <alignment horizontal="center"/>
    </xf>
    <xf numFmtId="0" fontId="45"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45" fillId="0" borderId="0" xfId="50" applyNumberFormat="1" applyFont="1"/>
    <xf numFmtId="172" fontId="45" fillId="0" borderId="115" xfId="50" applyNumberFormat="1" applyFont="1" applyBorder="1" applyAlignment="1">
      <alignment horizontal="right"/>
    </xf>
    <xf numFmtId="172" fontId="45" fillId="0" borderId="111" xfId="50" applyNumberFormat="1" applyFont="1" applyBorder="1" applyAlignment="1">
      <alignment horizontal="right"/>
    </xf>
    <xf numFmtId="172" fontId="45" fillId="0" borderId="99" xfId="50" applyNumberFormat="1" applyFont="1" applyBorder="1" applyAlignment="1">
      <alignment horizontal="right"/>
    </xf>
    <xf numFmtId="172" fontId="45" fillId="0" borderId="42" xfId="50" applyNumberFormat="1" applyFont="1" applyBorder="1" applyAlignment="1">
      <alignment horizontal="right"/>
    </xf>
    <xf numFmtId="172" fontId="45" fillId="0" borderId="48" xfId="50" applyNumberFormat="1" applyFont="1" applyBorder="1" applyAlignment="1">
      <alignment horizontal="right"/>
    </xf>
    <xf numFmtId="172" fontId="45" fillId="0" borderId="10" xfId="50" applyNumberFormat="1" applyFont="1" applyBorder="1"/>
    <xf numFmtId="172" fontId="45" fillId="0" borderId="11" xfId="50" applyNumberFormat="1" applyFont="1" applyBorder="1"/>
    <xf numFmtId="172" fontId="45" fillId="0" borderId="132" xfId="50" applyNumberFormat="1" applyFont="1" applyBorder="1"/>
    <xf numFmtId="172" fontId="45" fillId="0" borderId="176" xfId="50" applyNumberFormat="1" applyFont="1" applyBorder="1"/>
    <xf numFmtId="172" fontId="45" fillId="0" borderId="183" xfId="50" applyNumberFormat="1" applyFont="1" applyBorder="1"/>
    <xf numFmtId="172" fontId="45" fillId="0" borderId="177" xfId="50" applyNumberFormat="1" applyFont="1" applyBorder="1"/>
    <xf numFmtId="172" fontId="45" fillId="0" borderId="99" xfId="50" applyNumberFormat="1" applyFont="1" applyBorder="1"/>
    <xf numFmtId="172" fontId="45" fillId="0" borderId="42" xfId="50" applyNumberFormat="1" applyFont="1" applyBorder="1"/>
    <xf numFmtId="172" fontId="45" fillId="0" borderId="48" xfId="50" applyNumberFormat="1" applyFont="1" applyBorder="1"/>
    <xf numFmtId="172" fontId="45" fillId="0" borderId="100" xfId="50" applyNumberFormat="1" applyFont="1" applyBorder="1"/>
    <xf numFmtId="172" fontId="45" fillId="0" borderId="117" xfId="50" applyNumberFormat="1" applyFont="1" applyBorder="1"/>
    <xf numFmtId="172" fontId="45" fillId="0" borderId="49" xfId="50" applyNumberFormat="1" applyFont="1" applyBorder="1"/>
    <xf numFmtId="172" fontId="45" fillId="0" borderId="98" xfId="50" applyNumberFormat="1" applyFont="1" applyBorder="1"/>
    <xf numFmtId="172" fontId="45" fillId="0" borderId="125" xfId="50" applyNumberFormat="1" applyFont="1" applyBorder="1"/>
    <xf numFmtId="172" fontId="45" fillId="0" borderId="47" xfId="50" applyNumberFormat="1" applyFont="1" applyBorder="1"/>
    <xf numFmtId="0" fontId="45" fillId="0" borderId="0" xfId="41" applyFont="1" applyAlignment="1"/>
    <xf numFmtId="164" fontId="45" fillId="0" borderId="120" xfId="44" applyNumberFormat="1" applyFont="1" applyBorder="1" applyAlignment="1">
      <alignment horizontal="center"/>
    </xf>
    <xf numFmtId="164" fontId="45" fillId="0" borderId="39" xfId="44" applyNumberFormat="1" applyFont="1" applyBorder="1" applyAlignment="1">
      <alignment horizontal="center"/>
    </xf>
    <xf numFmtId="164" fontId="45" fillId="0" borderId="26" xfId="44" applyNumberFormat="1" applyFont="1" applyBorder="1" applyAlignment="1">
      <alignment horizontal="center"/>
    </xf>
    <xf numFmtId="0" fontId="63" fillId="0" borderId="118" xfId="0" applyFont="1" applyBorder="1"/>
    <xf numFmtId="0" fontId="64" fillId="0" borderId="121" xfId="0" applyFont="1" applyBorder="1" applyAlignment="1">
      <alignment horizontal="center" vertical="center" wrapText="1"/>
    </xf>
    <xf numFmtId="0" fontId="34" fillId="0" borderId="214" xfId="41" applyFont="1" applyBorder="1" applyAlignment="1">
      <alignment horizontal="center" wrapText="1"/>
    </xf>
    <xf numFmtId="0" fontId="37" fillId="30" borderId="101" xfId="0" applyFont="1" applyFill="1" applyBorder="1"/>
    <xf numFmtId="0" fontId="37"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2"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76" fillId="0" borderId="0" xfId="40" applyFont="1" applyFill="1"/>
    <xf numFmtId="0" fontId="45" fillId="30" borderId="114" xfId="41" applyFont="1" applyFill="1" applyBorder="1" applyAlignment="1"/>
    <xf numFmtId="0" fontId="45" fillId="30" borderId="112" xfId="41" applyFont="1" applyFill="1" applyBorder="1" applyAlignment="1"/>
    <xf numFmtId="0" fontId="45" fillId="30" borderId="113" xfId="41" applyFont="1" applyFill="1" applyBorder="1" applyAlignment="1"/>
    <xf numFmtId="0" fontId="45" fillId="30" borderId="77" xfId="41" applyFont="1" applyFill="1" applyBorder="1" applyAlignment="1"/>
    <xf numFmtId="0" fontId="45" fillId="30" borderId="78" xfId="41" applyFont="1" applyFill="1" applyBorder="1" applyAlignment="1"/>
    <xf numFmtId="0" fontId="45" fillId="30" borderId="79" xfId="41" applyFont="1" applyFill="1" applyBorder="1" applyAlignment="1"/>
    <xf numFmtId="0" fontId="45" fillId="30" borderId="77" xfId="41" applyFont="1" applyFill="1" applyBorder="1" applyAlignment="1">
      <alignment horizontal="left"/>
    </xf>
    <xf numFmtId="0" fontId="45" fillId="30" borderId="78" xfId="41" applyFont="1" applyFill="1" applyBorder="1" applyAlignment="1">
      <alignment horizontal="left"/>
    </xf>
    <xf numFmtId="0" fontId="45" fillId="30" borderId="79" xfId="41" applyFont="1" applyFill="1" applyBorder="1" applyAlignment="1">
      <alignment horizontal="left"/>
    </xf>
    <xf numFmtId="0" fontId="45" fillId="30" borderId="105" xfId="41" applyFont="1" applyFill="1" applyBorder="1" applyAlignment="1">
      <alignment horizontal="left"/>
    </xf>
    <xf numFmtId="0" fontId="45" fillId="30" borderId="116" xfId="41" applyFont="1" applyFill="1" applyBorder="1" applyAlignment="1">
      <alignment horizontal="left"/>
    </xf>
    <xf numFmtId="0" fontId="45" fillId="30" borderId="107" xfId="41" applyFont="1" applyFill="1" applyBorder="1" applyAlignment="1">
      <alignment horizontal="left"/>
    </xf>
    <xf numFmtId="0" fontId="45" fillId="0" borderId="115" xfId="41" applyFont="1" applyFill="1" applyBorder="1" applyAlignment="1"/>
    <xf numFmtId="0" fontId="45" fillId="0" borderId="42" xfId="41" applyFont="1" applyFill="1" applyBorder="1" applyAlignment="1"/>
    <xf numFmtId="0" fontId="45" fillId="0" borderId="125" xfId="41" applyFont="1" applyFill="1" applyBorder="1" applyAlignment="1"/>
    <xf numFmtId="0" fontId="45" fillId="0" borderId="42" xfId="41" applyFont="1" applyFill="1" applyBorder="1" applyAlignment="1">
      <alignment horizontal="left"/>
    </xf>
    <xf numFmtId="0" fontId="45" fillId="0" borderId="125" xfId="41" applyFont="1" applyFill="1" applyBorder="1" applyAlignment="1">
      <alignment horizontal="left"/>
    </xf>
    <xf numFmtId="0" fontId="45" fillId="0" borderId="117" xfId="41" applyFont="1" applyFill="1" applyBorder="1" applyAlignment="1">
      <alignment horizontal="left"/>
    </xf>
    <xf numFmtId="0" fontId="45" fillId="0" borderId="37" xfId="41" applyFont="1" applyFill="1" applyBorder="1" applyAlignment="1">
      <alignment horizontal="left"/>
    </xf>
    <xf numFmtId="164" fontId="45" fillId="0" borderId="111" xfId="44" applyNumberFormat="1" applyFont="1" applyBorder="1" applyAlignment="1">
      <alignment horizontal="center"/>
    </xf>
    <xf numFmtId="168" fontId="45" fillId="0" borderId="40" xfId="41" applyNumberFormat="1" applyFont="1" applyBorder="1"/>
    <xf numFmtId="168" fontId="45" fillId="0" borderId="131" xfId="41" applyNumberFormat="1" applyFont="1" applyBorder="1"/>
    <xf numFmtId="166" fontId="45" fillId="0" borderId="0" xfId="41" applyNumberFormat="1" applyFont="1"/>
    <xf numFmtId="0" fontId="45" fillId="0" borderId="75" xfId="41" applyFont="1" applyFill="1" applyBorder="1" applyAlignment="1">
      <alignment horizontal="center"/>
    </xf>
    <xf numFmtId="0" fontId="45" fillId="0" borderId="129" xfId="41" applyFont="1" applyFill="1" applyBorder="1" applyAlignment="1">
      <alignment horizontal="center"/>
    </xf>
    <xf numFmtId="0" fontId="45" fillId="0" borderId="128" xfId="41" applyFont="1" applyFill="1" applyBorder="1" applyAlignment="1">
      <alignment horizontal="center"/>
    </xf>
    <xf numFmtId="0" fontId="45" fillId="0" borderId="36" xfId="41" applyNumberFormat="1" applyFont="1" applyBorder="1" applyAlignment="1">
      <alignment horizontal="center"/>
    </xf>
    <xf numFmtId="0" fontId="45" fillId="0" borderId="37" xfId="41" applyNumberFormat="1" applyFont="1" applyBorder="1" applyAlignment="1">
      <alignment horizontal="center"/>
    </xf>
    <xf numFmtId="0" fontId="45" fillId="0" borderId="35" xfId="41" applyNumberFormat="1" applyFont="1" applyBorder="1" applyAlignment="1">
      <alignment horizontal="center"/>
    </xf>
    <xf numFmtId="0" fontId="45" fillId="0" borderId="26" xfId="41" applyNumberFormat="1" applyFont="1" applyBorder="1" applyAlignment="1">
      <alignment horizontal="center"/>
    </xf>
    <xf numFmtId="0" fontId="45" fillId="0" borderId="177" xfId="41" applyNumberFormat="1" applyFont="1" applyBorder="1" applyAlignment="1">
      <alignment horizontal="center"/>
    </xf>
    <xf numFmtId="0" fontId="67" fillId="30" borderId="102" xfId="41" applyFont="1" applyFill="1" applyBorder="1"/>
    <xf numFmtId="0" fontId="67" fillId="30" borderId="104" xfId="41" applyFont="1" applyFill="1" applyBorder="1"/>
    <xf numFmtId="0" fontId="67" fillId="30" borderId="182" xfId="41" applyFont="1" applyFill="1" applyBorder="1"/>
    <xf numFmtId="0" fontId="67" fillId="30" borderId="106" xfId="41" applyFont="1" applyFill="1" applyBorder="1"/>
    <xf numFmtId="0" fontId="45" fillId="0" borderId="115" xfId="41" applyFont="1" applyFill="1" applyBorder="1" applyAlignment="1">
      <alignment horizontal="center"/>
    </xf>
    <xf numFmtId="0" fontId="45" fillId="0" borderId="125" xfId="41" applyNumberFormat="1" applyFont="1" applyFill="1" applyBorder="1" applyAlignment="1">
      <alignment horizontal="center"/>
    </xf>
    <xf numFmtId="0" fontId="45" fillId="0" borderId="37" xfId="41" applyNumberFormat="1" applyFont="1" applyFill="1" applyBorder="1" applyAlignment="1">
      <alignment horizontal="center"/>
    </xf>
    <xf numFmtId="0" fontId="45" fillId="0" borderId="125" xfId="41" applyFont="1" applyFill="1" applyBorder="1" applyAlignment="1">
      <alignment horizontal="center"/>
    </xf>
    <xf numFmtId="0" fontId="58" fillId="34" borderId="53" xfId="0" applyFont="1" applyFill="1" applyBorder="1"/>
    <xf numFmtId="0" fontId="69" fillId="0" borderId="0" xfId="0" applyFont="1" applyFill="1" applyAlignment="1">
      <alignment horizontal="centerContinuous"/>
    </xf>
    <xf numFmtId="0" fontId="45"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7"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45"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7" fillId="36" borderId="0" xfId="0" applyFont="1" applyFill="1"/>
    <xf numFmtId="0" fontId="78" fillId="27" borderId="41" xfId="0" applyFont="1" applyFill="1" applyBorder="1"/>
    <xf numFmtId="0" fontId="78" fillId="27" borderId="0" xfId="0" applyFont="1" applyFill="1" applyBorder="1"/>
    <xf numFmtId="0" fontId="79" fillId="27" borderId="0" xfId="0" applyFont="1" applyFill="1" applyBorder="1"/>
    <xf numFmtId="0" fontId="79" fillId="27" borderId="40" xfId="0" applyFont="1" applyFill="1" applyBorder="1"/>
    <xf numFmtId="0" fontId="79" fillId="36" borderId="0" xfId="0" applyFont="1" applyFill="1"/>
    <xf numFmtId="0" fontId="78" fillId="27" borderId="0" xfId="0" applyFont="1" applyFill="1" applyBorder="1" applyAlignment="1"/>
    <xf numFmtId="10" fontId="46" fillId="0" borderId="139" xfId="44" applyNumberFormat="1" applyFont="1" applyBorder="1" applyAlignment="1">
      <alignment horizontal="center"/>
    </xf>
    <xf numFmtId="10" fontId="46" fillId="0" borderId="108" xfId="44" applyNumberFormat="1" applyFont="1" applyBorder="1" applyAlignment="1">
      <alignment horizontal="center"/>
    </xf>
    <xf numFmtId="10" fontId="46" fillId="0" borderId="218" xfId="44" applyNumberFormat="1" applyFont="1" applyBorder="1" applyAlignment="1">
      <alignment horizontal="center"/>
    </xf>
    <xf numFmtId="0" fontId="46" fillId="0" borderId="98" xfId="41" applyFont="1" applyBorder="1"/>
    <xf numFmtId="0" fontId="46" fillId="0" borderId="47" xfId="41" applyFont="1" applyBorder="1"/>
    <xf numFmtId="10" fontId="46" fillId="0" borderId="137" xfId="44" applyNumberFormat="1" applyFont="1" applyBorder="1" applyAlignment="1">
      <alignment horizontal="center"/>
    </xf>
    <xf numFmtId="10" fontId="46" fillId="0" borderId="138" xfId="44" applyNumberFormat="1" applyFont="1" applyBorder="1" applyAlignment="1">
      <alignment horizontal="center"/>
    </xf>
    <xf numFmtId="10" fontId="46" fillId="0" borderId="157" xfId="44" applyNumberFormat="1" applyFont="1" applyBorder="1" applyAlignment="1">
      <alignment horizontal="center"/>
    </xf>
    <xf numFmtId="0" fontId="46" fillId="0" borderId="97" xfId="41" applyFont="1" applyBorder="1"/>
    <xf numFmtId="0" fontId="46" fillId="0" borderId="123" xfId="41" applyFont="1" applyBorder="1"/>
    <xf numFmtId="166" fontId="46" fillId="0" borderId="133" xfId="44" applyNumberFormat="1" applyFont="1" applyBorder="1" applyAlignment="1">
      <alignment horizontal="center"/>
    </xf>
    <xf numFmtId="166" fontId="46" fillId="0" borderId="134" xfId="44" applyNumberFormat="1" applyFont="1" applyBorder="1" applyAlignment="1">
      <alignment horizontal="center"/>
    </xf>
    <xf numFmtId="166" fontId="46" fillId="0" borderId="155" xfId="44" applyNumberFormat="1" applyFont="1" applyBorder="1" applyAlignment="1">
      <alignment horizontal="center"/>
    </xf>
    <xf numFmtId="10" fontId="45" fillId="0" borderId="0" xfId="41" applyNumberFormat="1" applyFont="1"/>
    <xf numFmtId="164" fontId="45" fillId="0" borderId="0" xfId="44" applyNumberFormat="1" applyFont="1"/>
    <xf numFmtId="10" fontId="46" fillId="0" borderId="219" xfId="44" applyNumberFormat="1" applyFont="1" applyBorder="1" applyAlignment="1">
      <alignment horizontal="center"/>
    </xf>
    <xf numFmtId="10" fontId="46" fillId="0" borderId="220" xfId="44" applyNumberFormat="1" applyFont="1" applyBorder="1" applyAlignment="1">
      <alignment horizontal="center"/>
    </xf>
    <xf numFmtId="10" fontId="46" fillId="0" borderId="221" xfId="44" applyNumberFormat="1" applyFont="1" applyBorder="1" applyAlignment="1">
      <alignment horizontal="center"/>
    </xf>
    <xf numFmtId="0" fontId="45" fillId="0" borderId="73" xfId="41" applyFont="1" applyBorder="1" applyAlignment="1">
      <alignment horizontal="right"/>
    </xf>
    <xf numFmtId="0" fontId="46" fillId="0" borderId="122" xfId="41" applyFont="1" applyBorder="1"/>
    <xf numFmtId="10" fontId="46" fillId="0" borderId="97" xfId="41" applyNumberFormat="1" applyFont="1" applyBorder="1"/>
    <xf numFmtId="0" fontId="45" fillId="0" borderId="0" xfId="41" applyFont="1" applyBorder="1"/>
    <xf numFmtId="0" fontId="45" fillId="0" borderId="139" xfId="41" applyFont="1" applyBorder="1" applyAlignment="1">
      <alignment horizontal="center"/>
    </xf>
    <xf numFmtId="0" fontId="45" fillId="0" borderId="108" xfId="41" applyFont="1" applyBorder="1" applyAlignment="1">
      <alignment horizontal="center"/>
    </xf>
    <xf numFmtId="0" fontId="45" fillId="0" borderId="218" xfId="41" applyFont="1" applyBorder="1" applyAlignment="1">
      <alignment horizontal="center"/>
    </xf>
    <xf numFmtId="164" fontId="45" fillId="0" borderId="139" xfId="44" applyNumberFormat="1" applyFont="1" applyBorder="1"/>
    <xf numFmtId="164" fontId="45" fillId="0" borderId="108" xfId="44" applyNumberFormat="1" applyFont="1" applyBorder="1"/>
    <xf numFmtId="164" fontId="45" fillId="0" borderId="140" xfId="44" applyNumberFormat="1" applyFont="1" applyBorder="1"/>
    <xf numFmtId="164" fontId="45"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45" fillId="0" borderId="0" xfId="41" applyFont="1" applyAlignment="1">
      <alignment horizontal="right"/>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0"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45" fillId="0" borderId="77" xfId="41" applyFont="1" applyFill="1" applyBorder="1"/>
    <xf numFmtId="0" fontId="45" fillId="0" borderId="105" xfId="41" applyFont="1" applyFill="1" applyBorder="1"/>
    <xf numFmtId="0" fontId="45" fillId="25" borderId="176" xfId="41" applyFont="1" applyFill="1" applyBorder="1"/>
    <xf numFmtId="0" fontId="45" fillId="25" borderId="177" xfId="41" applyFont="1" applyFill="1" applyBorder="1"/>
    <xf numFmtId="0" fontId="45" fillId="0" borderId="99" xfId="41" applyFont="1" applyFill="1" applyBorder="1"/>
    <xf numFmtId="0" fontId="45" fillId="0" borderId="48" xfId="41" applyFont="1" applyFill="1" applyBorder="1"/>
    <xf numFmtId="0" fontId="45" fillId="0" borderId="184" xfId="41" applyFont="1" applyFill="1" applyBorder="1"/>
    <xf numFmtId="0" fontId="45" fillId="0" borderId="22" xfId="41" applyFont="1" applyBorder="1" applyAlignment="1">
      <alignment horizontal="center"/>
    </xf>
    <xf numFmtId="0" fontId="45" fillId="0" borderId="15" xfId="41" applyFont="1" applyBorder="1" applyAlignment="1">
      <alignment horizontal="center"/>
    </xf>
    <xf numFmtId="0" fontId="45" fillId="0" borderId="24" xfId="41" applyFont="1" applyBorder="1" applyAlignment="1">
      <alignment horizontal="center"/>
    </xf>
    <xf numFmtId="173" fontId="72" fillId="0" borderId="22" xfId="50" applyNumberFormat="1" applyFont="1" applyBorder="1" applyAlignment="1">
      <alignment horizontal="center"/>
    </xf>
    <xf numFmtId="173" fontId="72" fillId="0" borderId="15" xfId="50" applyNumberFormat="1" applyFont="1" applyBorder="1" applyAlignment="1">
      <alignment horizontal="center"/>
    </xf>
    <xf numFmtId="173" fontId="72" fillId="0" borderId="24" xfId="50" applyNumberFormat="1" applyFont="1" applyBorder="1" applyAlignment="1">
      <alignment horizontal="center"/>
    </xf>
    <xf numFmtId="173" fontId="72" fillId="0" borderId="65" xfId="50" applyNumberFormat="1" applyFont="1" applyBorder="1" applyAlignment="1">
      <alignment horizontal="center"/>
    </xf>
    <xf numFmtId="173" fontId="72" fillId="0" borderId="64" xfId="50" applyNumberFormat="1" applyFont="1" applyBorder="1" applyAlignment="1">
      <alignment horizontal="center"/>
    </xf>
    <xf numFmtId="173" fontId="72"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48" fillId="0" borderId="65" xfId="41" applyNumberFormat="1" applyFont="1" applyBorder="1"/>
    <xf numFmtId="168" fontId="48" fillId="0" borderId="64" xfId="41" applyNumberFormat="1" applyFont="1" applyBorder="1"/>
    <xf numFmtId="168" fontId="48" fillId="0" borderId="66" xfId="41" applyNumberFormat="1" applyFont="1" applyBorder="1"/>
    <xf numFmtId="0" fontId="48" fillId="0" borderId="15" xfId="41" applyFont="1" applyBorder="1" applyAlignment="1">
      <alignment horizontal="center"/>
    </xf>
    <xf numFmtId="0" fontId="48" fillId="0" borderId="24" xfId="41" applyFont="1" applyBorder="1" applyAlignment="1">
      <alignment horizontal="center"/>
    </xf>
    <xf numFmtId="0" fontId="45" fillId="0" borderId="22" xfId="41" applyFont="1" applyBorder="1"/>
    <xf numFmtId="0" fontId="45" fillId="0" borderId="15" xfId="41" applyFont="1" applyBorder="1"/>
    <xf numFmtId="0" fontId="45" fillId="0" borderId="24" xfId="41" applyFont="1" applyBorder="1"/>
    <xf numFmtId="0" fontId="45" fillId="0" borderId="65" xfId="41" applyFont="1" applyBorder="1"/>
    <xf numFmtId="0" fontId="45" fillId="0" borderId="64" xfId="41" applyFont="1" applyBorder="1"/>
    <xf numFmtId="0" fontId="45" fillId="0" borderId="66" xfId="41" applyFont="1" applyBorder="1"/>
    <xf numFmtId="172" fontId="45" fillId="0" borderId="22" xfId="50" applyNumberFormat="1" applyFont="1" applyBorder="1" applyAlignment="1">
      <alignment horizontal="center"/>
    </xf>
    <xf numFmtId="172" fontId="45" fillId="0" borderId="15" xfId="50" applyNumberFormat="1" applyFont="1" applyBorder="1" applyAlignment="1">
      <alignment horizontal="center"/>
    </xf>
    <xf numFmtId="172" fontId="45" fillId="0" borderId="24" xfId="50" applyNumberFormat="1" applyFont="1" applyBorder="1" applyAlignment="1">
      <alignment horizontal="center"/>
    </xf>
    <xf numFmtId="168" fontId="45" fillId="0" borderId="15" xfId="41" applyNumberFormat="1" applyFont="1" applyBorder="1" applyAlignment="1">
      <alignment horizontal="center"/>
    </xf>
    <xf numFmtId="168" fontId="45" fillId="0" borderId="24" xfId="41" applyNumberFormat="1" applyFont="1" applyBorder="1" applyAlignment="1">
      <alignment horizontal="center"/>
    </xf>
    <xf numFmtId="0" fontId="45" fillId="0" borderId="65" xfId="41" applyFont="1" applyBorder="1" applyAlignment="1">
      <alignment horizontal="center"/>
    </xf>
    <xf numFmtId="168" fontId="45" fillId="0" borderId="64" xfId="41" applyNumberFormat="1" applyFont="1" applyBorder="1" applyAlignment="1">
      <alignment horizontal="center"/>
    </xf>
    <xf numFmtId="168" fontId="45" fillId="0" borderId="66" xfId="41" applyNumberFormat="1" applyFont="1" applyBorder="1" applyAlignment="1">
      <alignment horizontal="center"/>
    </xf>
    <xf numFmtId="0" fontId="45" fillId="0" borderId="64" xfId="41" applyFont="1" applyBorder="1" applyAlignment="1">
      <alignment horizontal="center"/>
    </xf>
    <xf numFmtId="0" fontId="45" fillId="0" borderId="66" xfId="41" applyFont="1" applyBorder="1" applyAlignment="1">
      <alignment horizontal="center"/>
    </xf>
    <xf numFmtId="0" fontId="45" fillId="0" borderId="22" xfId="41" applyFont="1" applyFill="1" applyBorder="1" applyAlignment="1">
      <alignment horizontal="center" wrapText="1"/>
    </xf>
    <xf numFmtId="0" fontId="45" fillId="0" borderId="27" xfId="41" applyFont="1" applyBorder="1" applyAlignment="1">
      <alignment wrapText="1"/>
    </xf>
    <xf numFmtId="0" fontId="45" fillId="0" borderId="43" xfId="41" applyFont="1" applyBorder="1" applyAlignment="1">
      <alignment wrapText="1"/>
    </xf>
    <xf numFmtId="0" fontId="45" fillId="0" borderId="44" xfId="41" applyFont="1" applyBorder="1" applyAlignment="1">
      <alignment wrapText="1"/>
    </xf>
    <xf numFmtId="164" fontId="45" fillId="0" borderId="0" xfId="44" applyNumberFormat="1" applyFont="1" applyFill="1" applyBorder="1" applyAlignment="1">
      <alignment wrapText="1"/>
    </xf>
    <xf numFmtId="0" fontId="45" fillId="0" borderId="0" xfId="41" applyNumberFormat="1" applyFont="1" applyFill="1" applyBorder="1" applyAlignment="1">
      <alignment wrapText="1"/>
    </xf>
    <xf numFmtId="0" fontId="45" fillId="0" borderId="0" xfId="41" applyFont="1" applyFill="1" applyAlignment="1">
      <alignment wrapText="1"/>
    </xf>
    <xf numFmtId="0" fontId="45" fillId="0" borderId="0" xfId="41" applyFont="1" applyFill="1" applyAlignment="1">
      <alignment horizontal="right" wrapText="1"/>
    </xf>
    <xf numFmtId="0" fontId="45" fillId="0" borderId="0" xfId="41" applyFont="1" applyFill="1" applyBorder="1" applyAlignment="1">
      <alignment wrapText="1"/>
    </xf>
    <xf numFmtId="0" fontId="45" fillId="25" borderId="114" xfId="41" applyFont="1" applyFill="1" applyBorder="1"/>
    <xf numFmtId="0" fontId="45"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48" fillId="0" borderId="22" xfId="41" applyFont="1" applyBorder="1" applyAlignment="1">
      <alignment horizontal="center"/>
    </xf>
    <xf numFmtId="0" fontId="48" fillId="0" borderId="65" xfId="41" applyFont="1" applyBorder="1" applyAlignment="1">
      <alignment horizontal="center"/>
    </xf>
    <xf numFmtId="0" fontId="48" fillId="0" borderId="64" xfId="41" applyFont="1" applyBorder="1" applyAlignment="1">
      <alignment horizontal="center"/>
    </xf>
    <xf numFmtId="0" fontId="48"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48"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45" fillId="0" borderId="22" xfId="41" applyNumberFormat="1" applyFont="1" applyBorder="1" applyAlignment="1">
      <alignment horizontal="center"/>
    </xf>
    <xf numFmtId="168" fontId="45" fillId="0" borderId="65" xfId="41" applyNumberFormat="1" applyFont="1" applyBorder="1" applyAlignment="1">
      <alignment horizontal="center"/>
    </xf>
    <xf numFmtId="0" fontId="45" fillId="0" borderId="22" xfId="41" applyNumberFormat="1" applyFont="1" applyBorder="1" applyAlignment="1">
      <alignment horizontal="center"/>
    </xf>
    <xf numFmtId="0" fontId="45" fillId="0" borderId="15" xfId="41" applyNumberFormat="1" applyFont="1" applyBorder="1" applyAlignment="1">
      <alignment horizontal="center"/>
    </xf>
    <xf numFmtId="0" fontId="45" fillId="0" borderId="24" xfId="41" applyNumberFormat="1" applyFont="1" applyBorder="1" applyAlignment="1">
      <alignment horizontal="center"/>
    </xf>
    <xf numFmtId="0" fontId="45" fillId="0" borderId="65" xfId="41" applyNumberFormat="1" applyFont="1" applyBorder="1" applyAlignment="1">
      <alignment horizontal="center"/>
    </xf>
    <xf numFmtId="0" fontId="45" fillId="0" borderId="64" xfId="41" applyNumberFormat="1" applyFont="1" applyBorder="1" applyAlignment="1">
      <alignment horizontal="center"/>
    </xf>
    <xf numFmtId="0" fontId="45" fillId="0" borderId="66" xfId="41" applyNumberFormat="1" applyFont="1" applyBorder="1" applyAlignment="1">
      <alignment horizontal="center"/>
    </xf>
    <xf numFmtId="0" fontId="34" fillId="0" borderId="22" xfId="41" applyFont="1" applyFill="1" applyBorder="1" applyAlignment="1">
      <alignment horizontal="center" wrapText="1"/>
    </xf>
    <xf numFmtId="0" fontId="45" fillId="0" borderId="27" xfId="41" applyFont="1" applyBorder="1" applyAlignment="1">
      <alignment vertical="center"/>
    </xf>
    <xf numFmtId="0" fontId="45" fillId="0" borderId="43" xfId="41" applyFont="1" applyBorder="1" applyAlignment="1">
      <alignment vertical="center"/>
    </xf>
    <xf numFmtId="0" fontId="45" fillId="0" borderId="44" xfId="41" applyFont="1" applyBorder="1" applyAlignment="1">
      <alignment vertical="center"/>
    </xf>
    <xf numFmtId="0" fontId="45" fillId="0" borderId="58" xfId="41" applyFont="1" applyBorder="1" applyAlignment="1">
      <alignment vertical="center"/>
    </xf>
    <xf numFmtId="0" fontId="45" fillId="0" borderId="118" xfId="41" applyFont="1" applyBorder="1" applyAlignment="1">
      <alignment vertical="center"/>
    </xf>
    <xf numFmtId="0" fontId="34" fillId="0" borderId="0" xfId="41" applyFont="1" applyBorder="1" applyAlignment="1">
      <alignment vertical="center"/>
    </xf>
    <xf numFmtId="164" fontId="45" fillId="0" borderId="0" xfId="44" applyNumberFormat="1" applyFont="1" applyFill="1" applyBorder="1" applyAlignment="1">
      <alignment vertical="center"/>
    </xf>
    <xf numFmtId="0" fontId="45" fillId="0" borderId="0" xfId="41" applyNumberFormat="1" applyFont="1" applyFill="1" applyBorder="1" applyAlignment="1">
      <alignment vertical="center"/>
    </xf>
    <xf numFmtId="0" fontId="45" fillId="0" borderId="0" xfId="41" applyFont="1" applyFill="1" applyAlignment="1">
      <alignment vertical="center"/>
    </xf>
    <xf numFmtId="0" fontId="45" fillId="0" borderId="0" xfId="41" applyFont="1" applyFill="1" applyAlignment="1">
      <alignment horizontal="left" vertical="center"/>
    </xf>
    <xf numFmtId="0" fontId="45" fillId="0" borderId="0" xfId="41" applyFont="1" applyFill="1" applyAlignment="1">
      <alignment horizontal="right" vertical="center"/>
    </xf>
    <xf numFmtId="0" fontId="45" fillId="0" borderId="0" xfId="41" applyFont="1" applyFill="1" applyBorder="1" applyAlignment="1">
      <alignment vertical="center"/>
    </xf>
    <xf numFmtId="0" fontId="45" fillId="0" borderId="0" xfId="41" applyFont="1" applyAlignment="1">
      <alignment vertical="center" wrapText="1"/>
    </xf>
    <xf numFmtId="0" fontId="45" fillId="0" borderId="22" xfId="41" applyFont="1" applyBorder="1" applyAlignment="1">
      <alignment horizontal="right"/>
    </xf>
    <xf numFmtId="0" fontId="45" fillId="0" borderId="15" xfId="41" applyFont="1" applyBorder="1" applyAlignment="1">
      <alignment horizontal="right"/>
    </xf>
    <xf numFmtId="0" fontId="45" fillId="0" borderId="24" xfId="41" applyFont="1" applyBorder="1" applyAlignment="1">
      <alignment horizontal="right"/>
    </xf>
    <xf numFmtId="0" fontId="45" fillId="0" borderId="65" xfId="41" applyFont="1" applyBorder="1" applyAlignment="1">
      <alignment horizontal="right"/>
    </xf>
    <xf numFmtId="0" fontId="45" fillId="0" borderId="64" xfId="41" applyFont="1" applyBorder="1" applyAlignment="1">
      <alignment horizontal="right"/>
    </xf>
    <xf numFmtId="0" fontId="45" fillId="0" borderId="66" xfId="41" applyFont="1" applyBorder="1" applyAlignment="1">
      <alignment horizontal="right"/>
    </xf>
    <xf numFmtId="0" fontId="45" fillId="0" borderId="22" xfId="41" applyFont="1" applyBorder="1" applyAlignment="1"/>
    <xf numFmtId="0" fontId="45" fillId="0" borderId="15" xfId="41" applyFont="1" applyBorder="1" applyAlignment="1"/>
    <xf numFmtId="0" fontId="45" fillId="0" borderId="24" xfId="41" applyFont="1" applyBorder="1" applyAlignment="1"/>
    <xf numFmtId="0" fontId="45" fillId="0" borderId="65" xfId="41" applyFont="1" applyBorder="1" applyAlignment="1"/>
    <xf numFmtId="0" fontId="45" fillId="0" borderId="64" xfId="41" applyFont="1" applyBorder="1" applyAlignment="1"/>
    <xf numFmtId="0" fontId="45"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45" fillId="30" borderId="22" xfId="41" applyFont="1" applyFill="1" applyBorder="1" applyAlignment="1"/>
    <xf numFmtId="0" fontId="45" fillId="30" borderId="15" xfId="41" applyFont="1" applyFill="1" applyBorder="1" applyAlignment="1"/>
    <xf numFmtId="0" fontId="45" fillId="30" borderId="24" xfId="41" applyFont="1" applyFill="1" applyBorder="1" applyAlignment="1"/>
    <xf numFmtId="0" fontId="45" fillId="30" borderId="65" xfId="41" applyFont="1" applyFill="1" applyBorder="1" applyAlignment="1"/>
    <xf numFmtId="0" fontId="45" fillId="30" borderId="64" xfId="41" applyFont="1" applyFill="1" applyBorder="1" applyAlignment="1"/>
    <xf numFmtId="0" fontId="45"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64" fillId="0" borderId="45" xfId="0" applyFont="1" applyBorder="1" applyAlignment="1">
      <alignment horizontal="center" vertical="center" wrapText="1"/>
    </xf>
    <xf numFmtId="0" fontId="64" fillId="0" borderId="50" xfId="0" applyFont="1" applyBorder="1" applyAlignment="1">
      <alignment horizontal="center" vertical="center" wrapText="1"/>
    </xf>
    <xf numFmtId="0" fontId="58"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58"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58" fillId="0" borderId="0" xfId="28" applyNumberFormat="1" applyFont="1" applyBorder="1"/>
    <xf numFmtId="0" fontId="58" fillId="0" borderId="28" xfId="0" applyFont="1" applyBorder="1"/>
    <xf numFmtId="0" fontId="58" fillId="0" borderId="14" xfId="0" applyFont="1" applyBorder="1"/>
    <xf numFmtId="0" fontId="58" fillId="0" borderId="34" xfId="0" applyFont="1" applyBorder="1"/>
    <xf numFmtId="0" fontId="58" fillId="0" borderId="38" xfId="0" applyFont="1" applyBorder="1"/>
    <xf numFmtId="0" fontId="58" fillId="0" borderId="41" xfId="0" applyFont="1" applyBorder="1"/>
    <xf numFmtId="0" fontId="58"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45" fillId="0" borderId="98" xfId="44" applyNumberFormat="1" applyFont="1" applyBorder="1" applyAlignment="1">
      <alignment horizontal="center"/>
    </xf>
    <xf numFmtId="2" fontId="45" fillId="0" borderId="125" xfId="44" applyNumberFormat="1" applyFont="1" applyBorder="1" applyAlignment="1">
      <alignment horizontal="center"/>
    </xf>
    <xf numFmtId="2" fontId="45" fillId="0" borderId="101" xfId="44" applyNumberFormat="1" applyFont="1" applyBorder="1" applyAlignment="1">
      <alignment horizontal="center"/>
    </xf>
    <xf numFmtId="2" fontId="45" fillId="0" borderId="99" xfId="44" applyNumberFormat="1" applyFont="1" applyBorder="1" applyAlignment="1">
      <alignment horizontal="center"/>
    </xf>
    <xf numFmtId="2" fontId="45" fillId="0" borderId="42" xfId="44" applyNumberFormat="1" applyFont="1" applyBorder="1" applyAlignment="1">
      <alignment horizontal="center"/>
    </xf>
    <xf numFmtId="2" fontId="45" fillId="0" borderId="77" xfId="44" applyNumberFormat="1" applyFont="1" applyBorder="1" applyAlignment="1">
      <alignment horizontal="center"/>
    </xf>
    <xf numFmtId="2" fontId="45" fillId="0" borderId="100" xfId="44" applyNumberFormat="1" applyFont="1" applyBorder="1" applyAlignment="1">
      <alignment horizontal="center"/>
    </xf>
    <xf numFmtId="2" fontId="45" fillId="0" borderId="117" xfId="44" applyNumberFormat="1" applyFont="1" applyBorder="1" applyAlignment="1">
      <alignment horizontal="center"/>
    </xf>
    <xf numFmtId="2" fontId="45" fillId="0" borderId="105" xfId="44" applyNumberFormat="1" applyFont="1" applyBorder="1" applyAlignment="1">
      <alignment horizontal="center"/>
    </xf>
    <xf numFmtId="2" fontId="45" fillId="0" borderId="176" xfId="44" applyNumberFormat="1" applyFont="1" applyBorder="1" applyAlignment="1">
      <alignment horizontal="center"/>
    </xf>
    <xf numFmtId="2" fontId="45" fillId="0" borderId="183" xfId="44" applyNumberFormat="1" applyFont="1" applyBorder="1" applyAlignment="1">
      <alignment horizontal="center"/>
    </xf>
    <xf numFmtId="2" fontId="45" fillId="0" borderId="177" xfId="44" applyNumberFormat="1" applyFont="1" applyBorder="1" applyAlignment="1">
      <alignment horizontal="center"/>
    </xf>
    <xf numFmtId="2" fontId="45" fillId="0" borderId="48" xfId="44" applyNumberFormat="1" applyFont="1" applyBorder="1" applyAlignment="1">
      <alignment horizontal="center"/>
    </xf>
    <xf numFmtId="2" fontId="45" fillId="0" borderId="49" xfId="44" applyNumberFormat="1" applyFont="1" applyBorder="1" applyAlignment="1">
      <alignment horizontal="center"/>
    </xf>
    <xf numFmtId="2" fontId="45" fillId="0" borderId="47" xfId="44" applyNumberFormat="1" applyFont="1" applyBorder="1" applyAlignment="1">
      <alignment horizontal="center"/>
    </xf>
    <xf numFmtId="2" fontId="45" fillId="0" borderId="10" xfId="44" applyNumberFormat="1" applyFont="1" applyBorder="1" applyAlignment="1">
      <alignment horizontal="center"/>
    </xf>
    <xf numFmtId="2" fontId="45" fillId="0" borderId="11" xfId="44" applyNumberFormat="1" applyFont="1" applyBorder="1" applyAlignment="1">
      <alignment horizontal="center"/>
    </xf>
    <xf numFmtId="2" fontId="45" fillId="0" borderId="132" xfId="44" applyNumberFormat="1" applyFont="1" applyBorder="1" applyAlignment="1">
      <alignment horizontal="center"/>
    </xf>
    <xf numFmtId="1" fontId="58" fillId="0" borderId="15" xfId="44" applyNumberFormat="1" applyFont="1" applyBorder="1"/>
    <xf numFmtId="1" fontId="58" fillId="0" borderId="17" xfId="44" applyNumberFormat="1" applyFont="1" applyBorder="1"/>
    <xf numFmtId="0" fontId="64" fillId="0" borderId="29" xfId="41" applyFont="1" applyBorder="1" applyAlignment="1">
      <alignment horizontal="right"/>
    </xf>
    <xf numFmtId="0" fontId="64" fillId="0" borderId="29" xfId="41" applyFont="1" applyBorder="1"/>
    <xf numFmtId="0" fontId="64" fillId="0" borderId="30" xfId="41" applyFont="1" applyBorder="1"/>
    <xf numFmtId="0" fontId="60" fillId="0" borderId="93" xfId="0" applyFont="1" applyBorder="1"/>
    <xf numFmtId="1" fontId="58" fillId="0" borderId="60" xfId="44" applyNumberFormat="1" applyFont="1" applyBorder="1"/>
    <xf numFmtId="1" fontId="58" fillId="0" borderId="21" xfId="44" applyNumberFormat="1" applyFont="1" applyBorder="1"/>
    <xf numFmtId="1" fontId="58" fillId="0" borderId="22" xfId="44" applyNumberFormat="1" applyFont="1" applyBorder="1"/>
    <xf numFmtId="1" fontId="58" fillId="0" borderId="23" xfId="44" applyNumberFormat="1" applyFont="1" applyBorder="1"/>
    <xf numFmtId="0" fontId="60" fillId="29" borderId="60" xfId="0" applyFont="1" applyFill="1" applyBorder="1"/>
    <xf numFmtId="176" fontId="45" fillId="0" borderId="0" xfId="41" applyNumberFormat="1" applyFont="1"/>
    <xf numFmtId="0" fontId="0" fillId="0" borderId="74" xfId="0" applyBorder="1"/>
    <xf numFmtId="176" fontId="0" fillId="0" borderId="0" xfId="0" applyNumberFormat="1"/>
    <xf numFmtId="164" fontId="45" fillId="0" borderId="41" xfId="44" applyNumberFormat="1" applyFont="1" applyBorder="1"/>
    <xf numFmtId="164" fontId="46" fillId="0" borderId="0" xfId="44" applyNumberFormat="1" applyFont="1"/>
    <xf numFmtId="164" fontId="46" fillId="0" borderId="101" xfId="44" applyNumberFormat="1" applyFont="1" applyBorder="1"/>
    <xf numFmtId="164" fontId="0" fillId="0" borderId="74" xfId="44" applyNumberFormat="1" applyFont="1" applyBorder="1"/>
    <xf numFmtId="0" fontId="80" fillId="0" borderId="0" xfId="0" applyFont="1"/>
    <xf numFmtId="0" fontId="80" fillId="0" borderId="27" xfId="40" applyFont="1" applyFill="1" applyBorder="1"/>
    <xf numFmtId="0" fontId="80" fillId="0" borderId="28" xfId="40" applyFont="1" applyFill="1" applyBorder="1"/>
    <xf numFmtId="0" fontId="80" fillId="0" borderId="170" xfId="40" applyFont="1" applyFill="1" applyBorder="1" applyAlignment="1">
      <alignment horizontal="center"/>
    </xf>
    <xf numFmtId="0" fontId="80" fillId="0" borderId="229" xfId="40" applyFont="1" applyFill="1" applyBorder="1" applyAlignment="1">
      <alignment horizontal="center"/>
    </xf>
    <xf numFmtId="0" fontId="80" fillId="0" borderId="171" xfId="40" applyFont="1" applyFill="1" applyBorder="1" applyAlignment="1">
      <alignment horizontal="center"/>
    </xf>
    <xf numFmtId="0" fontId="80" fillId="0" borderId="28" xfId="40" applyFont="1" applyFill="1" applyBorder="1" applyAlignment="1">
      <alignment vertical="center"/>
    </xf>
    <xf numFmtId="0" fontId="80" fillId="0" borderId="22" xfId="40" applyFont="1" applyFill="1" applyBorder="1" applyAlignment="1">
      <alignment horizontal="center" vertical="center" wrapText="1"/>
    </xf>
    <xf numFmtId="0" fontId="80" fillId="0" borderId="15" xfId="40" applyFont="1" applyFill="1" applyBorder="1" applyAlignment="1">
      <alignment horizontal="center" vertical="center" wrapText="1"/>
    </xf>
    <xf numFmtId="0" fontId="80" fillId="0" borderId="24" xfId="40" applyFont="1" applyFill="1" applyBorder="1" applyAlignment="1">
      <alignment horizontal="center" vertical="center" wrapText="1"/>
    </xf>
    <xf numFmtId="0" fontId="80" fillId="0" borderId="52" xfId="40" applyFont="1" applyFill="1" applyBorder="1" applyAlignment="1">
      <alignment horizontal="center"/>
    </xf>
    <xf numFmtId="0" fontId="80" fillId="0" borderId="65" xfId="40" applyFont="1" applyFill="1" applyBorder="1" applyAlignment="1">
      <alignment horizontal="center"/>
    </xf>
    <xf numFmtId="0" fontId="80" fillId="0" borderId="64" xfId="40" applyFont="1" applyFill="1" applyBorder="1" applyAlignment="1">
      <alignment horizontal="center" wrapText="1"/>
    </xf>
    <xf numFmtId="0" fontId="80" fillId="0" borderId="66" xfId="40" applyFont="1" applyFill="1" applyBorder="1" applyAlignment="1">
      <alignment horizontal="center" wrapText="1"/>
    </xf>
    <xf numFmtId="0" fontId="80" fillId="0" borderId="65" xfId="40" applyFont="1" applyFill="1" applyBorder="1" applyAlignment="1">
      <alignment horizontal="center" wrapText="1"/>
    </xf>
    <xf numFmtId="0" fontId="80" fillId="0" borderId="28" xfId="40" applyFont="1" applyFill="1" applyBorder="1" applyAlignment="1">
      <alignment horizontal="center"/>
    </xf>
    <xf numFmtId="164" fontId="80" fillId="0" borderId="192" xfId="44" applyNumberFormat="1" applyFont="1" applyFill="1" applyBorder="1" applyAlignment="1">
      <alignment horizontal="center"/>
    </xf>
    <xf numFmtId="164" fontId="80" fillId="0" borderId="193" xfId="44" applyNumberFormat="1" applyFont="1" applyFill="1" applyBorder="1" applyAlignment="1">
      <alignment horizontal="center"/>
    </xf>
    <xf numFmtId="164" fontId="80" fillId="0" borderId="195" xfId="44" applyNumberFormat="1" applyFont="1" applyFill="1" applyBorder="1" applyAlignment="1">
      <alignment horizontal="center"/>
    </xf>
    <xf numFmtId="164" fontId="80" fillId="0" borderId="196" xfId="44" applyNumberFormat="1" applyFont="1" applyFill="1" applyBorder="1" applyAlignment="1">
      <alignment horizontal="center"/>
    </xf>
    <xf numFmtId="164" fontId="80" fillId="0" borderId="197" xfId="44" applyNumberFormat="1" applyFont="1" applyFill="1" applyBorder="1" applyAlignment="1">
      <alignment horizontal="center"/>
    </xf>
    <xf numFmtId="0" fontId="80" fillId="0" borderId="73" xfId="40" applyFont="1" applyFill="1" applyBorder="1" applyAlignment="1">
      <alignment horizontal="center"/>
    </xf>
    <xf numFmtId="164" fontId="80" fillId="0" borderId="198" xfId="44" applyNumberFormat="1" applyFont="1" applyFill="1" applyBorder="1" applyAlignment="1">
      <alignment horizontal="center"/>
    </xf>
    <xf numFmtId="164" fontId="80" fillId="0" borderId="199" xfId="44" applyNumberFormat="1" applyFont="1" applyFill="1" applyBorder="1" applyAlignment="1">
      <alignment horizontal="center"/>
    </xf>
    <xf numFmtId="164" fontId="80" fillId="0" borderId="200" xfId="44" applyNumberFormat="1" applyFont="1" applyFill="1" applyBorder="1" applyAlignment="1">
      <alignment horizontal="center"/>
    </xf>
    <xf numFmtId="164" fontId="80" fillId="0" borderId="201" xfId="44" applyNumberFormat="1" applyFont="1" applyFill="1" applyBorder="1" applyAlignment="1">
      <alignment horizontal="center"/>
    </xf>
    <xf numFmtId="164" fontId="80" fillId="0" borderId="202" xfId="44" applyNumberFormat="1" applyFont="1" applyFill="1" applyBorder="1" applyAlignment="1">
      <alignment horizontal="center"/>
    </xf>
    <xf numFmtId="164" fontId="80" fillId="0" borderId="203" xfId="44" applyNumberFormat="1" applyFont="1" applyFill="1" applyBorder="1" applyAlignment="1">
      <alignment horizontal="center"/>
    </xf>
    <xf numFmtId="0" fontId="80" fillId="0" borderId="34" xfId="40" applyFont="1" applyFill="1" applyBorder="1" applyAlignment="1">
      <alignment horizontal="center"/>
    </xf>
    <xf numFmtId="164" fontId="80" fillId="0" borderId="204" xfId="44" applyNumberFormat="1" applyFont="1" applyFill="1" applyBorder="1" applyAlignment="1">
      <alignment horizontal="center"/>
    </xf>
    <xf numFmtId="164" fontId="80" fillId="0" borderId="205" xfId="44" applyNumberFormat="1" applyFont="1" applyFill="1" applyBorder="1" applyAlignment="1">
      <alignment horizontal="center"/>
    </xf>
    <xf numFmtId="164" fontId="80" fillId="0" borderId="206" xfId="44" applyNumberFormat="1" applyFont="1" applyFill="1" applyBorder="1" applyAlignment="1">
      <alignment horizontal="center"/>
    </xf>
    <xf numFmtId="0" fontId="61" fillId="0" borderId="0" xfId="0" applyFont="1"/>
    <xf numFmtId="10" fontId="46" fillId="0" borderId="230" xfId="44" applyNumberFormat="1" applyFont="1" applyBorder="1" applyAlignment="1">
      <alignment horizontal="center"/>
    </xf>
    <xf numFmtId="10" fontId="46" fillId="0" borderId="109" xfId="44" applyNumberFormat="1" applyFont="1" applyBorder="1" applyAlignment="1">
      <alignment horizontal="center"/>
    </xf>
    <xf numFmtId="0" fontId="46" fillId="0" borderId="99" xfId="41" applyFont="1" applyBorder="1"/>
    <xf numFmtId="0" fontId="46" fillId="0" borderId="48" xfId="41" applyFont="1" applyBorder="1"/>
    <xf numFmtId="166" fontId="46" fillId="0" borderId="231" xfId="44" applyNumberFormat="1" applyFont="1" applyBorder="1" applyAlignment="1">
      <alignment horizontal="center"/>
    </xf>
    <xf numFmtId="0" fontId="45" fillId="0" borderId="110" xfId="41" applyFont="1" applyBorder="1"/>
    <xf numFmtId="0" fontId="46" fillId="0" borderId="111" xfId="41" applyFont="1" applyBorder="1"/>
    <xf numFmtId="10" fontId="46" fillId="0" borderId="111" xfId="41" applyNumberFormat="1" applyFont="1" applyBorder="1"/>
    <xf numFmtId="10" fontId="46" fillId="0" borderId="99" xfId="41" applyNumberFormat="1" applyFont="1" applyBorder="1"/>
    <xf numFmtId="164" fontId="80" fillId="0" borderId="232" xfId="44" applyNumberFormat="1" applyFont="1" applyFill="1" applyBorder="1" applyAlignment="1">
      <alignment horizontal="center"/>
    </xf>
    <xf numFmtId="164" fontId="80" fillId="0" borderId="194" xfId="44" applyNumberFormat="1" applyFont="1" applyFill="1" applyBorder="1" applyAlignment="1">
      <alignment horizontal="center"/>
    </xf>
    <xf numFmtId="164" fontId="80" fillId="0" borderId="233" xfId="44" applyNumberFormat="1" applyFont="1" applyFill="1" applyBorder="1" applyAlignment="1">
      <alignment horizontal="center"/>
    </xf>
    <xf numFmtId="164" fontId="80" fillId="0" borderId="234" xfId="44" applyNumberFormat="1" applyFont="1" applyFill="1" applyBorder="1" applyAlignment="1">
      <alignment horizontal="center"/>
    </xf>
    <xf numFmtId="164" fontId="80" fillId="0" borderId="235" xfId="44" applyNumberFormat="1" applyFont="1" applyFill="1" applyBorder="1" applyAlignment="1">
      <alignment horizontal="center"/>
    </xf>
    <xf numFmtId="0" fontId="80" fillId="0" borderId="25" xfId="40" applyFont="1" applyFill="1" applyBorder="1" applyAlignment="1">
      <alignment horizontal="center" vertical="center" wrapText="1"/>
    </xf>
    <xf numFmtId="0" fontId="80" fillId="0" borderId="20" xfId="40" applyFont="1" applyFill="1" applyBorder="1" applyAlignment="1">
      <alignment horizontal="center" vertical="center" wrapText="1"/>
    </xf>
    <xf numFmtId="0" fontId="80" fillId="0" borderId="55" xfId="40" applyFont="1" applyFill="1" applyBorder="1" applyAlignment="1">
      <alignment horizontal="center" vertical="center" wrapText="1"/>
    </xf>
    <xf numFmtId="164" fontId="45" fillId="0" borderId="218" xfId="44" applyNumberFormat="1" applyFont="1" applyBorder="1"/>
    <xf numFmtId="164" fontId="45" fillId="0" borderId="225" xfId="44" applyNumberFormat="1" applyFont="1" applyBorder="1"/>
    <xf numFmtId="0" fontId="46" fillId="0" borderId="180" xfId="41" applyFont="1" applyBorder="1"/>
    <xf numFmtId="0" fontId="0" fillId="0" borderId="72" xfId="0" applyBorder="1"/>
    <xf numFmtId="164" fontId="45" fillId="0" borderId="28" xfId="44" applyNumberFormat="1" applyFont="1" applyBorder="1"/>
    <xf numFmtId="164" fontId="45" fillId="0" borderId="0" xfId="44" applyNumberFormat="1" applyFont="1" applyBorder="1"/>
    <xf numFmtId="164" fontId="45" fillId="0" borderId="14" xfId="44" applyNumberFormat="1" applyFont="1" applyBorder="1"/>
    <xf numFmtId="164" fontId="45" fillId="0" borderId="34" xfId="44" applyNumberFormat="1" applyFont="1" applyBorder="1"/>
    <xf numFmtId="164" fontId="45" fillId="0" borderId="59" xfId="44" applyNumberFormat="1" applyFont="1" applyBorder="1"/>
    <xf numFmtId="164" fontId="45" fillId="0" borderId="236" xfId="44" applyNumberFormat="1" applyFont="1" applyBorder="1"/>
    <xf numFmtId="164" fontId="45" fillId="0" borderId="38" xfId="44" applyNumberFormat="1" applyFont="1" applyBorder="1"/>
    <xf numFmtId="0" fontId="46" fillId="0" borderId="70" xfId="41" applyFont="1" applyBorder="1"/>
    <xf numFmtId="0" fontId="46" fillId="0" borderId="71" xfId="41" applyFont="1" applyBorder="1"/>
    <xf numFmtId="0" fontId="45" fillId="0" borderId="78" xfId="41" applyFont="1" applyBorder="1"/>
    <xf numFmtId="0" fontId="45" fillId="0" borderId="77" xfId="41" applyFont="1" applyBorder="1"/>
    <xf numFmtId="0" fontId="45" fillId="0" borderId="129" xfId="41" applyFont="1" applyBorder="1"/>
    <xf numFmtId="2" fontId="80" fillId="0" borderId="193" xfId="44" applyNumberFormat="1" applyFont="1" applyFill="1" applyBorder="1" applyAlignment="1">
      <alignment horizontal="center"/>
    </xf>
    <xf numFmtId="2" fontId="80" fillId="0" borderId="232" xfId="44" applyNumberFormat="1" applyFont="1" applyFill="1" applyBorder="1" applyAlignment="1">
      <alignment horizontal="center"/>
    </xf>
    <xf numFmtId="2" fontId="80" fillId="0" borderId="194" xfId="44" applyNumberFormat="1" applyFont="1" applyFill="1" applyBorder="1" applyAlignment="1">
      <alignment horizontal="center"/>
    </xf>
    <xf numFmtId="2" fontId="80" fillId="0" borderId="195" xfId="44" applyNumberFormat="1" applyFont="1" applyFill="1" applyBorder="1" applyAlignment="1">
      <alignment horizontal="center"/>
    </xf>
    <xf numFmtId="2" fontId="80" fillId="0" borderId="196" xfId="44" applyNumberFormat="1" applyFont="1" applyFill="1" applyBorder="1" applyAlignment="1">
      <alignment horizontal="center"/>
    </xf>
    <xf numFmtId="2" fontId="80" fillId="0" borderId="197" xfId="44" applyNumberFormat="1" applyFont="1" applyFill="1" applyBorder="1" applyAlignment="1">
      <alignment horizontal="center"/>
    </xf>
    <xf numFmtId="2" fontId="80" fillId="0" borderId="198" xfId="44" applyNumberFormat="1" applyFont="1" applyFill="1" applyBorder="1" applyAlignment="1">
      <alignment horizontal="center"/>
    </xf>
    <xf numFmtId="2" fontId="80" fillId="0" borderId="199" xfId="44" applyNumberFormat="1" applyFont="1" applyFill="1" applyBorder="1" applyAlignment="1">
      <alignment horizontal="center"/>
    </xf>
    <xf numFmtId="2" fontId="80" fillId="0" borderId="200" xfId="44" applyNumberFormat="1" applyFont="1" applyFill="1" applyBorder="1" applyAlignment="1">
      <alignment horizontal="center"/>
    </xf>
    <xf numFmtId="2" fontId="80" fillId="0" borderId="201" xfId="44" applyNumberFormat="1" applyFont="1" applyFill="1" applyBorder="1" applyAlignment="1">
      <alignment horizontal="center"/>
    </xf>
    <xf numFmtId="2" fontId="80" fillId="0" borderId="202" xfId="44" applyNumberFormat="1" applyFont="1" applyFill="1" applyBorder="1" applyAlignment="1">
      <alignment horizontal="center"/>
    </xf>
    <xf numFmtId="2" fontId="80" fillId="0" borderId="203" xfId="44" applyNumberFormat="1" applyFont="1" applyFill="1" applyBorder="1" applyAlignment="1">
      <alignment horizontal="center"/>
    </xf>
    <xf numFmtId="2" fontId="80" fillId="0" borderId="233" xfId="44" applyNumberFormat="1" applyFont="1" applyFill="1" applyBorder="1" applyAlignment="1">
      <alignment horizontal="center"/>
    </xf>
    <xf numFmtId="2" fontId="80" fillId="0" borderId="234" xfId="44" applyNumberFormat="1" applyFont="1" applyFill="1" applyBorder="1" applyAlignment="1">
      <alignment horizontal="center"/>
    </xf>
    <xf numFmtId="2" fontId="80" fillId="0" borderId="235" xfId="44" applyNumberFormat="1" applyFont="1" applyFill="1" applyBorder="1" applyAlignment="1">
      <alignment horizontal="center"/>
    </xf>
    <xf numFmtId="2" fontId="80" fillId="0" borderId="204" xfId="44" applyNumberFormat="1" applyFont="1" applyFill="1" applyBorder="1" applyAlignment="1">
      <alignment horizontal="center"/>
    </xf>
    <xf numFmtId="2" fontId="80" fillId="0" borderId="205" xfId="44" applyNumberFormat="1" applyFont="1" applyFill="1" applyBorder="1" applyAlignment="1">
      <alignment horizontal="center"/>
    </xf>
    <xf numFmtId="2" fontId="80" fillId="0" borderId="206" xfId="44" applyNumberFormat="1" applyFont="1" applyFill="1" applyBorder="1" applyAlignment="1">
      <alignment horizontal="center"/>
    </xf>
    <xf numFmtId="0" fontId="25" fillId="0" borderId="99" xfId="41" applyFont="1" applyFill="1" applyBorder="1"/>
    <xf numFmtId="0" fontId="76" fillId="0" borderId="0" xfId="0" applyFont="1"/>
    <xf numFmtId="168" fontId="80" fillId="0" borderId="195" xfId="44" applyNumberFormat="1" applyFont="1" applyFill="1" applyBorder="1" applyAlignment="1">
      <alignment horizontal="center"/>
    </xf>
    <xf numFmtId="168" fontId="80" fillId="0" borderId="193" xfId="44" applyNumberFormat="1" applyFont="1" applyFill="1" applyBorder="1" applyAlignment="1">
      <alignment horizontal="center"/>
    </xf>
    <xf numFmtId="168" fontId="80" fillId="0" borderId="232" xfId="44" applyNumberFormat="1" applyFont="1" applyFill="1" applyBorder="1" applyAlignment="1">
      <alignment horizontal="center"/>
    </xf>
    <xf numFmtId="168" fontId="80" fillId="0" borderId="196" xfId="44" applyNumberFormat="1" applyFont="1" applyFill="1" applyBorder="1" applyAlignment="1">
      <alignment horizontal="center"/>
    </xf>
    <xf numFmtId="168" fontId="80" fillId="0" borderId="197" xfId="44" applyNumberFormat="1" applyFont="1" applyFill="1" applyBorder="1" applyAlignment="1">
      <alignment horizontal="center"/>
    </xf>
    <xf numFmtId="168" fontId="80" fillId="0" borderId="198" xfId="44" applyNumberFormat="1" applyFont="1" applyFill="1" applyBorder="1" applyAlignment="1">
      <alignment horizontal="center"/>
    </xf>
    <xf numFmtId="168" fontId="80" fillId="0" borderId="199" xfId="44" applyNumberFormat="1" applyFont="1" applyFill="1" applyBorder="1" applyAlignment="1">
      <alignment horizontal="center"/>
    </xf>
    <xf numFmtId="168" fontId="80" fillId="0" borderId="200" xfId="44" applyNumberFormat="1" applyFont="1" applyFill="1" applyBorder="1" applyAlignment="1">
      <alignment horizontal="center"/>
    </xf>
    <xf numFmtId="168" fontId="80" fillId="0" borderId="201" xfId="44" applyNumberFormat="1" applyFont="1" applyFill="1" applyBorder="1" applyAlignment="1">
      <alignment horizontal="center"/>
    </xf>
    <xf numFmtId="168" fontId="80" fillId="0" borderId="202" xfId="44" applyNumberFormat="1" applyFont="1" applyFill="1" applyBorder="1" applyAlignment="1">
      <alignment horizontal="center"/>
    </xf>
    <xf numFmtId="168" fontId="80" fillId="0" borderId="203" xfId="44" applyNumberFormat="1" applyFont="1" applyFill="1" applyBorder="1" applyAlignment="1">
      <alignment horizontal="center"/>
    </xf>
    <xf numFmtId="168" fontId="80" fillId="0" borderId="204" xfId="44" applyNumberFormat="1" applyFont="1" applyFill="1" applyBorder="1" applyAlignment="1">
      <alignment horizontal="center"/>
    </xf>
    <xf numFmtId="168" fontId="80" fillId="0" borderId="205" xfId="44" applyNumberFormat="1" applyFont="1" applyFill="1" applyBorder="1" applyAlignment="1">
      <alignment horizontal="center"/>
    </xf>
    <xf numFmtId="168" fontId="80" fillId="0" borderId="206" xfId="44" applyNumberFormat="1" applyFont="1" applyFill="1" applyBorder="1" applyAlignment="1">
      <alignment horizontal="center"/>
    </xf>
    <xf numFmtId="168" fontId="80" fillId="0" borderId="233" xfId="44" applyNumberFormat="1" applyFont="1" applyFill="1" applyBorder="1" applyAlignment="1">
      <alignment horizontal="center"/>
    </xf>
    <xf numFmtId="168" fontId="80" fillId="0" borderId="234" xfId="44" applyNumberFormat="1" applyFont="1" applyFill="1" applyBorder="1" applyAlignment="1">
      <alignment horizontal="center"/>
    </xf>
    <xf numFmtId="168" fontId="80" fillId="0" borderId="235" xfId="44" applyNumberFormat="1" applyFont="1" applyFill="1" applyBorder="1" applyAlignment="1">
      <alignment horizontal="center"/>
    </xf>
    <xf numFmtId="0" fontId="0" fillId="0" borderId="59" xfId="0" applyFill="1" applyBorder="1" applyAlignment="1"/>
    <xf numFmtId="0" fontId="82" fillId="0" borderId="71" xfId="0" applyFont="1" applyFill="1" applyBorder="1" applyAlignment="1">
      <alignment horizontal="center"/>
    </xf>
    <xf numFmtId="0" fontId="0" fillId="0" borderId="0" xfId="0" applyFill="1" applyBorder="1" applyAlignment="1"/>
    <xf numFmtId="0" fontId="82" fillId="0" borderId="71" xfId="0" applyFont="1" applyFill="1" applyBorder="1" applyAlignment="1">
      <alignment horizontal="centerContinuous"/>
    </xf>
    <xf numFmtId="0" fontId="60"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58"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58" fillId="0" borderId="0" xfId="44" applyNumberFormat="1" applyFont="1"/>
    <xf numFmtId="9" fontId="58" fillId="0" borderId="0" xfId="44" applyNumberFormat="1" applyFont="1"/>
    <xf numFmtId="0" fontId="68" fillId="0" borderId="0" xfId="0" applyFont="1"/>
    <xf numFmtId="10" fontId="58" fillId="0" borderId="21" xfId="44" applyNumberFormat="1" applyFont="1" applyBorder="1"/>
    <xf numFmtId="10" fontId="58" fillId="0" borderId="56" xfId="44" applyNumberFormat="1" applyFont="1" applyBorder="1"/>
    <xf numFmtId="10" fontId="58" fillId="0" borderId="15" xfId="44" applyNumberFormat="1" applyFont="1" applyBorder="1"/>
    <xf numFmtId="10" fontId="58" fillId="0" borderId="24" xfId="44" applyNumberFormat="1" applyFont="1" applyBorder="1"/>
    <xf numFmtId="10" fontId="58" fillId="0" borderId="17" xfId="44" applyNumberFormat="1" applyFont="1" applyBorder="1"/>
    <xf numFmtId="10" fontId="58"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0" fillId="0" borderId="41" xfId="0" applyFont="1" applyBorder="1"/>
    <xf numFmtId="0" fontId="80" fillId="0" borderId="0" xfId="0" applyFont="1" applyBorder="1"/>
    <xf numFmtId="0" fontId="80" fillId="0" borderId="40" xfId="0" applyFont="1" applyBorder="1"/>
    <xf numFmtId="2" fontId="80" fillId="0" borderId="41" xfId="0" applyNumberFormat="1" applyFont="1" applyBorder="1"/>
    <xf numFmtId="2" fontId="80" fillId="0" borderId="0" xfId="0" applyNumberFormat="1" applyFont="1" applyBorder="1"/>
    <xf numFmtId="2" fontId="80" fillId="0" borderId="101" xfId="0" applyNumberFormat="1" applyFont="1" applyBorder="1"/>
    <xf numFmtId="2" fontId="80" fillId="0" borderId="74" xfId="0" applyNumberFormat="1" applyFont="1" applyBorder="1"/>
    <xf numFmtId="16" fontId="80" fillId="0" borderId="40" xfId="0" applyNumberFormat="1" applyFont="1" applyBorder="1"/>
    <xf numFmtId="2" fontId="80" fillId="0" borderId="40" xfId="0" applyNumberFormat="1" applyFont="1" applyBorder="1"/>
    <xf numFmtId="2" fontId="68" fillId="0" borderId="41" xfId="0" applyNumberFormat="1" applyFont="1" applyBorder="1"/>
    <xf numFmtId="2" fontId="68" fillId="0" borderId="0" xfId="0" applyNumberFormat="1" applyFont="1" applyBorder="1"/>
    <xf numFmtId="2" fontId="68" fillId="0" borderId="40" xfId="0" applyNumberFormat="1" applyFont="1" applyBorder="1"/>
    <xf numFmtId="2" fontId="68" fillId="0" borderId="101" xfId="0" applyNumberFormat="1" applyFont="1" applyBorder="1"/>
    <xf numFmtId="2" fontId="68" fillId="0" borderId="74" xfId="0" applyNumberFormat="1" applyFont="1" applyBorder="1"/>
    <xf numFmtId="2" fontId="68" fillId="0" borderId="103" xfId="0" applyNumberFormat="1" applyFont="1" applyBorder="1"/>
    <xf numFmtId="2" fontId="80" fillId="0" borderId="103" xfId="0" applyNumberFormat="1" applyFont="1" applyBorder="1"/>
    <xf numFmtId="0" fontId="80" fillId="0" borderId="0" xfId="0" applyFont="1" applyBorder="1" applyAlignment="1">
      <alignment vertical="center" wrapText="1"/>
    </xf>
    <xf numFmtId="16" fontId="80"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45" fillId="0" borderId="98" xfId="41" applyNumberFormat="1" applyFont="1" applyFill="1" applyBorder="1"/>
    <xf numFmtId="168" fontId="45" fillId="0" borderId="125" xfId="41" applyNumberFormat="1" applyFont="1" applyFill="1" applyBorder="1"/>
    <xf numFmtId="168" fontId="45" fillId="0" borderId="47" xfId="41" applyNumberFormat="1" applyFont="1" applyFill="1" applyBorder="1"/>
    <xf numFmtId="168" fontId="45" fillId="0" borderId="99" xfId="41" applyNumberFormat="1" applyFont="1" applyFill="1" applyBorder="1"/>
    <xf numFmtId="168" fontId="45" fillId="0" borderId="48" xfId="41" applyNumberFormat="1" applyFont="1" applyFill="1" applyBorder="1"/>
    <xf numFmtId="168" fontId="45" fillId="0" borderId="100" xfId="41" applyNumberFormat="1" applyFont="1" applyFill="1" applyBorder="1"/>
    <xf numFmtId="168" fontId="45"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63" fillId="0" borderId="190" xfId="0" applyNumberFormat="1" applyFont="1" applyBorder="1" applyAlignment="1">
      <alignment horizontal="center"/>
    </xf>
    <xf numFmtId="168" fontId="63" fillId="0" borderId="84" xfId="0" applyNumberFormat="1" applyFont="1" applyBorder="1" applyAlignment="1">
      <alignment horizontal="center"/>
    </xf>
    <xf numFmtId="168" fontId="63" fillId="0" borderId="191" xfId="0" applyNumberFormat="1" applyFont="1" applyBorder="1" applyAlignment="1">
      <alignment horizontal="center"/>
    </xf>
    <xf numFmtId="168" fontId="63" fillId="0" borderId="237" xfId="0" applyNumberFormat="1" applyFont="1" applyBorder="1" applyAlignment="1">
      <alignment horizontal="center"/>
    </xf>
    <xf numFmtId="168" fontId="63" fillId="0" borderId="238" xfId="0" applyNumberFormat="1" applyFont="1" applyBorder="1" applyAlignment="1">
      <alignment horizontal="center"/>
    </xf>
    <xf numFmtId="168" fontId="63" fillId="0" borderId="13" xfId="0" applyNumberFormat="1" applyFont="1" applyBorder="1" applyAlignment="1">
      <alignment horizontal="center"/>
    </xf>
    <xf numFmtId="168" fontId="63" fillId="0" borderId="16" xfId="0" applyNumberFormat="1" applyFont="1" applyBorder="1" applyAlignment="1">
      <alignment horizontal="center"/>
    </xf>
    <xf numFmtId="168" fontId="63" fillId="0" borderId="18" xfId="0" applyNumberFormat="1" applyFont="1" applyBorder="1" applyAlignment="1">
      <alignment horizontal="center"/>
    </xf>
    <xf numFmtId="168" fontId="63" fillId="0" borderId="239" xfId="0" applyNumberFormat="1" applyFont="1" applyBorder="1" applyAlignment="1">
      <alignment horizontal="center"/>
    </xf>
    <xf numFmtId="168" fontId="63"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85"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58" fillId="35" borderId="0" xfId="0" applyNumberFormat="1" applyFont="1" applyFill="1"/>
    <xf numFmtId="2" fontId="58" fillId="35" borderId="41" xfId="0" applyNumberFormat="1" applyFont="1" applyFill="1" applyBorder="1"/>
    <xf numFmtId="0" fontId="87" fillId="0" borderId="74" xfId="0" applyFont="1" applyBorder="1"/>
    <xf numFmtId="0" fontId="25" fillId="0" borderId="0" xfId="0" applyFont="1" applyBorder="1" applyAlignment="1">
      <alignment horizontal="right"/>
    </xf>
    <xf numFmtId="0" fontId="88" fillId="35" borderId="42" xfId="0" applyFont="1" applyFill="1" applyBorder="1"/>
    <xf numFmtId="0" fontId="58" fillId="35" borderId="42" xfId="0" applyFont="1" applyFill="1" applyBorder="1"/>
    <xf numFmtId="0" fontId="67" fillId="35" borderId="114" xfId="41" applyFont="1" applyFill="1" applyBorder="1" applyAlignment="1">
      <alignment horizontal="left"/>
    </xf>
    <xf numFmtId="0" fontId="67" fillId="35" borderId="112" xfId="41" applyFont="1" applyFill="1" applyBorder="1" applyAlignment="1">
      <alignment horizontal="left"/>
    </xf>
    <xf numFmtId="0" fontId="67" fillId="35" borderId="113" xfId="41" applyFont="1" applyFill="1" applyBorder="1" applyAlignment="1">
      <alignment horizontal="left"/>
    </xf>
    <xf numFmtId="0" fontId="67" fillId="35" borderId="101" xfId="41" applyFont="1" applyFill="1" applyBorder="1"/>
    <xf numFmtId="0" fontId="67" fillId="35" borderId="77" xfId="41" applyFont="1" applyFill="1" applyBorder="1" applyAlignment="1">
      <alignment horizontal="left"/>
    </xf>
    <xf numFmtId="0" fontId="67" fillId="35" borderId="78" xfId="41" applyFont="1" applyFill="1" applyBorder="1" applyAlignment="1">
      <alignment horizontal="left"/>
    </xf>
    <xf numFmtId="0" fontId="67" fillId="35" borderId="79" xfId="41" applyFont="1" applyFill="1" applyBorder="1" applyAlignment="1">
      <alignment horizontal="left"/>
    </xf>
    <xf numFmtId="0" fontId="67" fillId="35" borderId="77" xfId="41" applyFont="1" applyFill="1" applyBorder="1"/>
    <xf numFmtId="0" fontId="67" fillId="35" borderId="78" xfId="41" applyFont="1" applyFill="1" applyBorder="1" applyAlignment="1">
      <alignment horizontal="center"/>
    </xf>
    <xf numFmtId="0" fontId="67" fillId="35" borderId="79" xfId="41" applyFont="1" applyFill="1" applyBorder="1" applyAlignment="1">
      <alignment horizontal="center"/>
    </xf>
    <xf numFmtId="0" fontId="67" fillId="35" borderId="173" xfId="41" applyFont="1" applyFill="1" applyBorder="1"/>
    <xf numFmtId="0" fontId="67" fillId="35" borderId="105" xfId="41" applyFont="1" applyFill="1" applyBorder="1" applyAlignment="1">
      <alignment horizontal="left"/>
    </xf>
    <xf numFmtId="0" fontId="67" fillId="35" borderId="116" xfId="41" applyFont="1" applyFill="1" applyBorder="1" applyAlignment="1">
      <alignment horizontal="left"/>
    </xf>
    <xf numFmtId="0" fontId="67" fillId="35" borderId="107" xfId="41" applyFont="1" applyFill="1" applyBorder="1" applyAlignment="1">
      <alignment horizontal="left"/>
    </xf>
    <xf numFmtId="0" fontId="67" fillId="35" borderId="105" xfId="41" applyFont="1" applyFill="1" applyBorder="1"/>
    <xf numFmtId="0" fontId="67" fillId="35" borderId="104" xfId="41" applyFont="1" applyFill="1" applyBorder="1"/>
    <xf numFmtId="0" fontId="67" fillId="35" borderId="99" xfId="41" applyFont="1" applyFill="1" applyBorder="1"/>
    <xf numFmtId="0" fontId="67" fillId="35" borderId="48" xfId="41" applyFont="1" applyFill="1" applyBorder="1"/>
    <xf numFmtId="168" fontId="67" fillId="35" borderId="79" xfId="41" applyNumberFormat="1" applyFont="1" applyFill="1" applyBorder="1"/>
    <xf numFmtId="168" fontId="67" fillId="35" borderId="77" xfId="41" applyNumberFormat="1" applyFont="1" applyFill="1" applyBorder="1"/>
    <xf numFmtId="168" fontId="67" fillId="35" borderId="99" xfId="41" applyNumberFormat="1" applyFont="1" applyFill="1" applyBorder="1"/>
    <xf numFmtId="1" fontId="67" fillId="35" borderId="48" xfId="44" applyNumberFormat="1" applyFont="1" applyFill="1" applyBorder="1"/>
    <xf numFmtId="0" fontId="67" fillId="35" borderId="132" xfId="41" applyFont="1" applyFill="1" applyBorder="1"/>
    <xf numFmtId="168" fontId="67" fillId="35" borderId="174" xfId="41" applyNumberFormat="1" applyFont="1" applyFill="1" applyBorder="1"/>
    <xf numFmtId="168" fontId="67" fillId="35" borderId="173" xfId="41" applyNumberFormat="1" applyFont="1" applyFill="1" applyBorder="1"/>
    <xf numFmtId="168" fontId="67" fillId="35" borderId="10" xfId="41" applyNumberFormat="1" applyFont="1" applyFill="1" applyBorder="1"/>
    <xf numFmtId="1" fontId="67" fillId="35" borderId="132" xfId="44" applyNumberFormat="1" applyFont="1" applyFill="1" applyBorder="1"/>
    <xf numFmtId="0" fontId="67" fillId="35" borderId="106" xfId="41" applyFont="1" applyFill="1" applyBorder="1"/>
    <xf numFmtId="0" fontId="67" fillId="35" borderId="100" xfId="41" applyFont="1" applyFill="1" applyBorder="1"/>
    <xf numFmtId="0" fontId="67" fillId="35" borderId="49" xfId="41" applyFont="1" applyFill="1" applyBorder="1"/>
    <xf numFmtId="168" fontId="67" fillId="35" borderId="107" xfId="41" applyNumberFormat="1" applyFont="1" applyFill="1" applyBorder="1"/>
    <xf numFmtId="168" fontId="67" fillId="35" borderId="105" xfId="41" applyNumberFormat="1" applyFont="1" applyFill="1" applyBorder="1"/>
    <xf numFmtId="168" fontId="67" fillId="35" borderId="100" xfId="41" applyNumberFormat="1" applyFont="1" applyFill="1" applyBorder="1"/>
    <xf numFmtId="1" fontId="67" fillId="35" borderId="49" xfId="44" applyNumberFormat="1" applyFont="1" applyFill="1" applyBorder="1"/>
    <xf numFmtId="168" fontId="67" fillId="35" borderId="98" xfId="41" applyNumberFormat="1" applyFont="1" applyFill="1" applyBorder="1"/>
    <xf numFmtId="1" fontId="67" fillId="35" borderId="47" xfId="44" applyNumberFormat="1" applyFont="1" applyFill="1" applyBorder="1"/>
    <xf numFmtId="168" fontId="63" fillId="35" borderId="60" xfId="0" applyNumberFormat="1" applyFont="1" applyFill="1" applyBorder="1" applyAlignment="1">
      <alignment horizontal="center"/>
    </xf>
    <xf numFmtId="168" fontId="63" fillId="35" borderId="21" xfId="0" applyNumberFormat="1" applyFont="1" applyFill="1" applyBorder="1" applyAlignment="1">
      <alignment horizontal="center"/>
    </xf>
    <xf numFmtId="168" fontId="63" fillId="35" borderId="56" xfId="0" applyNumberFormat="1" applyFont="1" applyFill="1" applyBorder="1" applyAlignment="1">
      <alignment horizontal="center"/>
    </xf>
    <xf numFmtId="168" fontId="63" fillId="35" borderId="22" xfId="0" applyNumberFormat="1" applyFont="1" applyFill="1" applyBorder="1" applyAlignment="1">
      <alignment horizontal="center"/>
    </xf>
    <xf numFmtId="168" fontId="63" fillId="35" borderId="15" xfId="0" applyNumberFormat="1" applyFont="1" applyFill="1" applyBorder="1" applyAlignment="1">
      <alignment horizontal="center"/>
    </xf>
    <xf numFmtId="168" fontId="63" fillId="35" borderId="24" xfId="0" applyNumberFormat="1" applyFont="1" applyFill="1" applyBorder="1" applyAlignment="1">
      <alignment horizontal="center"/>
    </xf>
    <xf numFmtId="168" fontId="63" fillId="35" borderId="23" xfId="0" applyNumberFormat="1" applyFont="1" applyFill="1" applyBorder="1" applyAlignment="1">
      <alignment horizontal="center"/>
    </xf>
    <xf numFmtId="168" fontId="63" fillId="35" borderId="17" xfId="0" applyNumberFormat="1" applyFont="1" applyFill="1" applyBorder="1" applyAlignment="1">
      <alignment horizontal="center"/>
    </xf>
    <xf numFmtId="168" fontId="63" fillId="35" borderId="19" xfId="0" applyNumberFormat="1" applyFont="1" applyFill="1" applyBorder="1" applyAlignment="1">
      <alignment horizontal="center"/>
    </xf>
    <xf numFmtId="168" fontId="63" fillId="35" borderId="163" xfId="0" applyNumberFormat="1" applyFont="1" applyFill="1" applyBorder="1" applyAlignment="1">
      <alignment horizontal="center"/>
    </xf>
    <xf numFmtId="168" fontId="63" fillId="35" borderId="12" xfId="0" applyNumberFormat="1" applyFont="1" applyFill="1" applyBorder="1" applyAlignment="1">
      <alignment horizontal="center"/>
    </xf>
    <xf numFmtId="168" fontId="63" fillId="35" borderId="54" xfId="0" applyNumberFormat="1" applyFont="1" applyFill="1" applyBorder="1" applyAlignment="1">
      <alignment horizontal="center"/>
    </xf>
    <xf numFmtId="168" fontId="63" fillId="35" borderId="25" xfId="0" applyNumberFormat="1" applyFont="1" applyFill="1" applyBorder="1" applyAlignment="1">
      <alignment horizontal="center"/>
    </xf>
    <xf numFmtId="168" fontId="63" fillId="35" borderId="20" xfId="0" applyNumberFormat="1" applyFont="1" applyFill="1" applyBorder="1" applyAlignment="1">
      <alignment horizontal="center"/>
    </xf>
    <xf numFmtId="168" fontId="63" fillId="35" borderId="55" xfId="0" applyNumberFormat="1" applyFont="1" applyFill="1" applyBorder="1" applyAlignment="1">
      <alignment horizontal="center"/>
    </xf>
    <xf numFmtId="9" fontId="58" fillId="35" borderId="175" xfId="44" applyFont="1" applyFill="1" applyBorder="1" applyAlignment="1">
      <alignment horizontal="center"/>
    </xf>
    <xf numFmtId="9" fontId="58" fillId="35" borderId="88" xfId="44" applyFont="1" applyFill="1" applyBorder="1" applyAlignment="1">
      <alignment horizontal="center"/>
    </xf>
    <xf numFmtId="9" fontId="58" fillId="35" borderId="89" xfId="44" applyFont="1" applyFill="1" applyBorder="1" applyAlignment="1">
      <alignment horizontal="center"/>
    </xf>
    <xf numFmtId="177" fontId="63" fillId="35" borderId="60" xfId="0" applyNumberFormat="1" applyFont="1" applyFill="1" applyBorder="1" applyAlignment="1">
      <alignment horizontal="center"/>
    </xf>
    <xf numFmtId="165" fontId="63" fillId="35" borderId="21" xfId="0" applyNumberFormat="1" applyFont="1" applyFill="1" applyBorder="1" applyAlignment="1">
      <alignment horizontal="center"/>
    </xf>
    <xf numFmtId="165" fontId="63" fillId="35" borderId="56" xfId="0" applyNumberFormat="1" applyFont="1" applyFill="1" applyBorder="1" applyAlignment="1">
      <alignment horizontal="center"/>
    </xf>
    <xf numFmtId="4" fontId="63" fillId="35" borderId="60" xfId="0" applyNumberFormat="1" applyFont="1" applyFill="1" applyBorder="1" applyAlignment="1">
      <alignment horizontal="center"/>
    </xf>
    <xf numFmtId="4" fontId="63" fillId="35" borderId="21" xfId="0" applyNumberFormat="1" applyFont="1" applyFill="1" applyBorder="1" applyAlignment="1">
      <alignment horizontal="center"/>
    </xf>
    <xf numFmtId="4" fontId="63" fillId="35" borderId="56" xfId="0" applyNumberFormat="1" applyFont="1" applyFill="1" applyBorder="1" applyAlignment="1">
      <alignment horizontal="center"/>
    </xf>
    <xf numFmtId="177" fontId="63" fillId="35" borderId="22" xfId="0" applyNumberFormat="1" applyFont="1" applyFill="1" applyBorder="1" applyAlignment="1">
      <alignment horizontal="center"/>
    </xf>
    <xf numFmtId="165" fontId="63" fillId="35" borderId="15" xfId="0" applyNumberFormat="1" applyFont="1" applyFill="1" applyBorder="1" applyAlignment="1">
      <alignment horizontal="center"/>
    </xf>
    <xf numFmtId="165" fontId="63" fillId="35" borderId="24" xfId="0" applyNumberFormat="1" applyFont="1" applyFill="1" applyBorder="1" applyAlignment="1">
      <alignment horizontal="center"/>
    </xf>
    <xf numFmtId="4" fontId="63" fillId="35" borderId="22" xfId="0" applyNumberFormat="1" applyFont="1" applyFill="1" applyBorder="1" applyAlignment="1">
      <alignment horizontal="center"/>
    </xf>
    <xf numFmtId="4" fontId="63" fillId="35" borderId="15" xfId="0" applyNumberFormat="1" applyFont="1" applyFill="1" applyBorder="1" applyAlignment="1">
      <alignment horizontal="center"/>
    </xf>
    <xf numFmtId="4" fontId="63" fillId="35" borderId="24" xfId="0" applyNumberFormat="1" applyFont="1" applyFill="1" applyBorder="1" applyAlignment="1">
      <alignment horizontal="center"/>
    </xf>
    <xf numFmtId="177" fontId="63" fillId="35" borderId="23" xfId="0" applyNumberFormat="1" applyFont="1" applyFill="1" applyBorder="1" applyAlignment="1">
      <alignment horizontal="center"/>
    </xf>
    <xf numFmtId="165" fontId="63" fillId="35" borderId="17" xfId="0" applyNumberFormat="1" applyFont="1" applyFill="1" applyBorder="1" applyAlignment="1">
      <alignment horizontal="center"/>
    </xf>
    <xf numFmtId="165" fontId="63" fillId="35" borderId="19" xfId="0" applyNumberFormat="1" applyFont="1" applyFill="1" applyBorder="1" applyAlignment="1">
      <alignment horizontal="center"/>
    </xf>
    <xf numFmtId="4" fontId="63" fillId="35" borderId="23" xfId="0" applyNumberFormat="1" applyFont="1" applyFill="1" applyBorder="1" applyAlignment="1">
      <alignment horizontal="center"/>
    </xf>
    <xf numFmtId="4" fontId="63" fillId="35" borderId="17" xfId="0" applyNumberFormat="1" applyFont="1" applyFill="1" applyBorder="1" applyAlignment="1">
      <alignment horizontal="center"/>
    </xf>
    <xf numFmtId="4" fontId="63" fillId="35" borderId="19" xfId="0" applyNumberFormat="1" applyFont="1" applyFill="1" applyBorder="1" applyAlignment="1">
      <alignment horizontal="center"/>
    </xf>
    <xf numFmtId="177" fontId="63" fillId="35" borderId="163" xfId="0" applyNumberFormat="1" applyFont="1" applyFill="1" applyBorder="1" applyAlignment="1">
      <alignment horizontal="center"/>
    </xf>
    <xf numFmtId="165" fontId="63" fillId="35" borderId="12" xfId="0" applyNumberFormat="1" applyFont="1" applyFill="1" applyBorder="1" applyAlignment="1">
      <alignment horizontal="center"/>
    </xf>
    <xf numFmtId="165" fontId="63" fillId="35" borderId="54" xfId="0" applyNumberFormat="1" applyFont="1" applyFill="1" applyBorder="1" applyAlignment="1">
      <alignment horizontal="center"/>
    </xf>
    <xf numFmtId="4" fontId="63" fillId="35" borderId="163" xfId="0" applyNumberFormat="1" applyFont="1" applyFill="1" applyBorder="1" applyAlignment="1">
      <alignment horizontal="center"/>
    </xf>
    <xf numFmtId="4" fontId="63" fillId="35" borderId="12" xfId="0" applyNumberFormat="1" applyFont="1" applyFill="1" applyBorder="1" applyAlignment="1">
      <alignment horizontal="center"/>
    </xf>
    <xf numFmtId="4" fontId="63" fillId="35" borderId="54" xfId="0" applyNumberFormat="1" applyFont="1" applyFill="1" applyBorder="1" applyAlignment="1">
      <alignment horizontal="center"/>
    </xf>
    <xf numFmtId="169" fontId="63" fillId="35" borderId="17" xfId="0" applyNumberFormat="1" applyFont="1" applyFill="1" applyBorder="1" applyAlignment="1">
      <alignment horizontal="center"/>
    </xf>
    <xf numFmtId="169" fontId="63" fillId="35" borderId="19" xfId="0" applyNumberFormat="1" applyFont="1" applyFill="1" applyBorder="1" applyAlignment="1">
      <alignment horizontal="center"/>
    </xf>
    <xf numFmtId="169" fontId="63" fillId="35" borderId="12" xfId="0" applyNumberFormat="1" applyFont="1" applyFill="1" applyBorder="1" applyAlignment="1">
      <alignment horizontal="center"/>
    </xf>
    <xf numFmtId="169" fontId="63" fillId="35" borderId="54" xfId="0" applyNumberFormat="1" applyFont="1" applyFill="1" applyBorder="1" applyAlignment="1">
      <alignment horizontal="center"/>
    </xf>
    <xf numFmtId="169" fontId="63" fillId="35" borderId="15" xfId="0" applyNumberFormat="1" applyFont="1" applyFill="1" applyBorder="1" applyAlignment="1">
      <alignment horizontal="center"/>
    </xf>
    <xf numFmtId="169" fontId="63" fillId="35" borderId="24" xfId="0" applyNumberFormat="1" applyFont="1" applyFill="1" applyBorder="1" applyAlignment="1">
      <alignment horizontal="center"/>
    </xf>
    <xf numFmtId="177" fontId="63" fillId="35" borderId="25" xfId="0" applyNumberFormat="1" applyFont="1" applyFill="1" applyBorder="1" applyAlignment="1">
      <alignment horizontal="center"/>
    </xf>
    <xf numFmtId="4" fontId="63" fillId="35" borderId="25" xfId="0" applyNumberFormat="1" applyFont="1" applyFill="1" applyBorder="1" applyAlignment="1">
      <alignment horizontal="center"/>
    </xf>
    <xf numFmtId="4" fontId="63" fillId="35" borderId="20" xfId="0" applyNumberFormat="1" applyFont="1" applyFill="1" applyBorder="1" applyAlignment="1">
      <alignment horizontal="center"/>
    </xf>
    <xf numFmtId="4" fontId="63" fillId="35" borderId="55" xfId="0" applyNumberFormat="1" applyFont="1" applyFill="1" applyBorder="1" applyAlignment="1">
      <alignment horizontal="center"/>
    </xf>
    <xf numFmtId="169" fontId="63" fillId="35" borderId="21" xfId="0" applyNumberFormat="1" applyFont="1" applyFill="1" applyBorder="1" applyAlignment="1">
      <alignment horizontal="center"/>
    </xf>
    <xf numFmtId="169" fontId="63" fillId="35" borderId="56" xfId="0" applyNumberFormat="1" applyFont="1" applyFill="1" applyBorder="1" applyAlignment="1">
      <alignment horizontal="center"/>
    </xf>
    <xf numFmtId="0" fontId="58"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73" fillId="35" borderId="23" xfId="0" applyNumberFormat="1" applyFont="1" applyFill="1" applyBorder="1" applyAlignment="1">
      <alignment horizontal="center"/>
    </xf>
    <xf numFmtId="169" fontId="63" fillId="35" borderId="60" xfId="0" applyNumberFormat="1" applyFont="1" applyFill="1" applyBorder="1" applyAlignment="1">
      <alignment horizontal="center"/>
    </xf>
    <xf numFmtId="169" fontId="63" fillId="35" borderId="22" xfId="0" applyNumberFormat="1" applyFont="1" applyFill="1" applyBorder="1" applyAlignment="1">
      <alignment horizontal="center"/>
    </xf>
    <xf numFmtId="169" fontId="63" fillId="35" borderId="23" xfId="0" applyNumberFormat="1" applyFont="1" applyFill="1" applyBorder="1" applyAlignment="1">
      <alignment horizontal="center"/>
    </xf>
    <xf numFmtId="169" fontId="63" fillId="35" borderId="163" xfId="0" applyNumberFormat="1" applyFont="1" applyFill="1" applyBorder="1" applyAlignment="1">
      <alignment horizontal="center"/>
    </xf>
    <xf numFmtId="169" fontId="63" fillId="35" borderId="25" xfId="0" applyNumberFormat="1" applyFont="1" applyFill="1" applyBorder="1" applyAlignment="1">
      <alignment horizontal="center"/>
    </xf>
    <xf numFmtId="0" fontId="25" fillId="35" borderId="53" xfId="0" applyFont="1" applyFill="1" applyBorder="1"/>
    <xf numFmtId="0" fontId="67" fillId="35" borderId="10" xfId="41" applyFont="1" applyFill="1" applyBorder="1"/>
    <xf numFmtId="0" fontId="58" fillId="0" borderId="88" xfId="0" applyFont="1" applyBorder="1" applyAlignment="1">
      <alignment horizontal="center"/>
    </xf>
    <xf numFmtId="0" fontId="58" fillId="0" borderId="89" xfId="0" applyFont="1" applyBorder="1" applyAlignment="1">
      <alignment horizontal="center"/>
    </xf>
    <xf numFmtId="14" fontId="6" fillId="0" borderId="0" xfId="0" applyNumberFormat="1" applyFont="1" applyAlignment="1">
      <alignment horizontal="left" vertical="center"/>
    </xf>
    <xf numFmtId="0" fontId="60" fillId="0" borderId="39" xfId="0" applyFont="1" applyBorder="1"/>
    <xf numFmtId="0" fontId="60" fillId="0" borderId="26" xfId="0" applyFont="1" applyBorder="1"/>
    <xf numFmtId="0" fontId="60" fillId="35" borderId="41" xfId="0" applyFont="1" applyFill="1" applyBorder="1" applyAlignment="1">
      <alignment horizontal="center" wrapText="1"/>
    </xf>
    <xf numFmtId="0" fontId="89" fillId="0" borderId="0" xfId="0" applyFont="1"/>
    <xf numFmtId="0" fontId="69" fillId="0" borderId="0" xfId="0" applyFont="1" applyAlignment="1">
      <alignment horizontal="left"/>
    </xf>
    <xf numFmtId="3" fontId="58" fillId="0" borderId="0" xfId="0" applyNumberFormat="1" applyFont="1" applyAlignment="1">
      <alignment horizontal="centerContinuous"/>
    </xf>
    <xf numFmtId="0" fontId="58" fillId="0" borderId="0" xfId="0" applyFont="1" applyAlignment="1">
      <alignment horizontal="centerContinuous"/>
    </xf>
    <xf numFmtId="0" fontId="69" fillId="0" borderId="0" xfId="0" applyFont="1" applyBorder="1" applyAlignment="1">
      <alignment horizontal="left" vertical="center"/>
    </xf>
    <xf numFmtId="0" fontId="60" fillId="0" borderId="0" xfId="0" applyFont="1" applyAlignment="1">
      <alignment horizontal="left" vertical="center"/>
    </xf>
    <xf numFmtId="0" fontId="69" fillId="0" borderId="0" xfId="41" applyFont="1" applyBorder="1"/>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90" fillId="0" borderId="0" xfId="0" quotePrefix="1" applyFont="1" applyFill="1" applyAlignment="1">
      <alignment horizontal="left"/>
    </xf>
    <xf numFmtId="0" fontId="24" fillId="0" borderId="58" xfId="0" applyFont="1" applyFill="1" applyBorder="1" applyAlignment="1">
      <alignment horizontal="center"/>
    </xf>
    <xf numFmtId="0" fontId="25" fillId="0" borderId="33" xfId="0" applyFont="1" applyBorder="1" applyAlignment="1">
      <alignment horizontal="right"/>
    </xf>
    <xf numFmtId="3" fontId="24" fillId="24" borderId="60" xfId="0" applyNumberFormat="1" applyFont="1" applyFill="1" applyBorder="1" applyAlignment="1"/>
    <xf numFmtId="3" fontId="25" fillId="0" borderId="21" xfId="0" applyNumberFormat="1" applyFont="1" applyBorder="1" applyAlignment="1"/>
    <xf numFmtId="3" fontId="24" fillId="24" borderId="21" xfId="0" applyNumberFormat="1" applyFont="1" applyFill="1" applyBorder="1" applyAlignment="1"/>
    <xf numFmtId="3" fontId="25" fillId="0" borderId="56" xfId="0" applyNumberFormat="1" applyFont="1" applyBorder="1" applyAlignment="1">
      <alignment horizontal="right"/>
    </xf>
    <xf numFmtId="164" fontId="25" fillId="0" borderId="60" xfId="44" applyNumberFormat="1" applyFont="1" applyFill="1" applyBorder="1" applyAlignment="1">
      <alignment horizontal="center"/>
    </xf>
    <xf numFmtId="164" fontId="25" fillId="0" borderId="21" xfId="44" applyNumberFormat="1" applyFont="1" applyFill="1" applyBorder="1" applyAlignment="1">
      <alignment horizontal="center"/>
    </xf>
    <xf numFmtId="164" fontId="25" fillId="0" borderId="62" xfId="44" applyNumberFormat="1" applyFont="1" applyFill="1" applyBorder="1" applyAlignment="1">
      <alignment horizontal="center"/>
    </xf>
    <xf numFmtId="164" fontId="25" fillId="0" borderId="56" xfId="44" applyNumberFormat="1" applyFont="1" applyFill="1" applyBorder="1" applyAlignment="1">
      <alignment horizontal="center"/>
    </xf>
    <xf numFmtId="0" fontId="25" fillId="0" borderId="60" xfId="0" applyFont="1" applyBorder="1" applyAlignment="1"/>
    <xf numFmtId="3" fontId="25" fillId="0" borderId="62" xfId="0" applyNumberFormat="1" applyFont="1" applyBorder="1" applyAlignment="1"/>
    <xf numFmtId="164" fontId="25" fillId="0" borderId="61" xfId="44" applyNumberFormat="1" applyFont="1" applyFill="1" applyBorder="1" applyAlignment="1">
      <alignment horizontal="center"/>
    </xf>
    <xf numFmtId="0" fontId="25" fillId="0" borderId="29" xfId="0" applyFont="1" applyBorder="1" applyAlignment="1">
      <alignment horizontal="right"/>
    </xf>
    <xf numFmtId="3" fontId="24" fillId="24" borderId="22" xfId="0" applyNumberFormat="1" applyFont="1" applyFill="1" applyBorder="1" applyAlignment="1"/>
    <xf numFmtId="3" fontId="25" fillId="0" borderId="15" xfId="0" applyNumberFormat="1" applyFont="1" applyBorder="1" applyAlignment="1"/>
    <xf numFmtId="3" fontId="24" fillId="24" borderId="15" xfId="0" applyNumberFormat="1" applyFont="1" applyFill="1" applyBorder="1" applyAlignment="1"/>
    <xf numFmtId="3" fontId="25" fillId="0" borderId="24" xfId="0" applyNumberFormat="1" applyFont="1" applyBorder="1" applyAlignment="1">
      <alignment horizontal="right"/>
    </xf>
    <xf numFmtId="164" fontId="25" fillId="0" borderId="22" xfId="44" applyNumberFormat="1" applyFont="1" applyFill="1" applyBorder="1" applyAlignment="1">
      <alignment horizontal="center"/>
    </xf>
    <xf numFmtId="164" fontId="25" fillId="0" borderId="15" xfId="44" applyNumberFormat="1" applyFont="1" applyFill="1" applyBorder="1" applyAlignment="1">
      <alignment horizontal="center"/>
    </xf>
    <xf numFmtId="164" fontId="25" fillId="0" borderId="16" xfId="44" applyNumberFormat="1" applyFont="1" applyFill="1" applyBorder="1" applyAlignment="1">
      <alignment horizontal="center"/>
    </xf>
    <xf numFmtId="164" fontId="25" fillId="0" borderId="24" xfId="44" applyNumberFormat="1" applyFont="1" applyFill="1" applyBorder="1" applyAlignment="1">
      <alignment horizontal="center"/>
    </xf>
    <xf numFmtId="0" fontId="25" fillId="0" borderId="22" xfId="0" applyFont="1" applyBorder="1" applyAlignment="1"/>
    <xf numFmtId="3" fontId="25" fillId="0" borderId="16" xfId="0" applyNumberFormat="1" applyFont="1" applyBorder="1" applyAlignment="1"/>
    <xf numFmtId="164" fontId="25" fillId="0" borderId="63" xfId="44" applyNumberFormat="1" applyFont="1" applyFill="1" applyBorder="1" applyAlignment="1">
      <alignment horizontal="center"/>
    </xf>
    <xf numFmtId="0" fontId="25" fillId="0" borderId="172" xfId="0" applyFont="1" applyBorder="1" applyAlignment="1">
      <alignment horizontal="right"/>
    </xf>
    <xf numFmtId="3" fontId="24" fillId="24" borderId="65" xfId="0" applyNumberFormat="1" applyFont="1" applyFill="1" applyBorder="1" applyAlignment="1"/>
    <xf numFmtId="3" fontId="25" fillId="0" borderId="64" xfId="0" applyNumberFormat="1" applyFont="1" applyBorder="1" applyAlignment="1"/>
    <xf numFmtId="3" fontId="24" fillId="24" borderId="64" xfId="0" applyNumberFormat="1" applyFont="1" applyFill="1" applyBorder="1" applyAlignment="1"/>
    <xf numFmtId="3" fontId="25" fillId="0" borderId="66" xfId="0" applyNumberFormat="1" applyFont="1" applyBorder="1" applyAlignment="1">
      <alignment horizontal="right"/>
    </xf>
    <xf numFmtId="164" fontId="25" fillId="0" borderId="65" xfId="44" applyNumberFormat="1" applyFont="1" applyFill="1" applyBorder="1" applyAlignment="1">
      <alignment horizontal="center"/>
    </xf>
    <xf numFmtId="164" fontId="25" fillId="0" borderId="64" xfId="44" applyNumberFormat="1" applyFont="1" applyFill="1" applyBorder="1" applyAlignment="1">
      <alignment horizontal="center"/>
    </xf>
    <xf numFmtId="164" fontId="25" fillId="0" borderId="68" xfId="44" applyNumberFormat="1" applyFont="1" applyFill="1" applyBorder="1" applyAlignment="1">
      <alignment horizontal="center"/>
    </xf>
    <xf numFmtId="164" fontId="25" fillId="0" borderId="66" xfId="44" applyNumberFormat="1" applyFont="1" applyFill="1" applyBorder="1" applyAlignment="1">
      <alignment horizontal="center"/>
    </xf>
    <xf numFmtId="0" fontId="25" fillId="0" borderId="65" xfId="0" applyFont="1" applyBorder="1" applyAlignment="1"/>
    <xf numFmtId="3" fontId="25" fillId="0" borderId="68" xfId="0" applyNumberFormat="1" applyFont="1" applyBorder="1" applyAlignment="1"/>
    <xf numFmtId="164" fontId="25" fillId="0" borderId="67" xfId="44" applyNumberFormat="1" applyFont="1" applyFill="1" applyBorder="1" applyAlignment="1">
      <alignment horizontal="center"/>
    </xf>
    <xf numFmtId="0" fontId="91" fillId="0" borderId="34" xfId="0" applyFont="1" applyFill="1" applyBorder="1" applyAlignment="1">
      <alignment horizontal="center"/>
    </xf>
    <xf numFmtId="3" fontId="24" fillId="0" borderId="36" xfId="0" applyNumberFormat="1" applyFont="1" applyFill="1" applyBorder="1" applyAlignment="1">
      <alignment horizontal="center"/>
    </xf>
    <xf numFmtId="3" fontId="24" fillId="0" borderId="37" xfId="0" applyNumberFormat="1" applyFont="1" applyFill="1" applyBorder="1" applyAlignment="1">
      <alignment horizontal="center"/>
    </xf>
    <xf numFmtId="3" fontId="24" fillId="0" borderId="35" xfId="0" applyNumberFormat="1" applyFont="1" applyFill="1" applyBorder="1" applyAlignment="1">
      <alignment horizontal="center"/>
    </xf>
    <xf numFmtId="164" fontId="24" fillId="0" borderId="36" xfId="44" applyNumberFormat="1" applyFont="1" applyFill="1" applyBorder="1" applyAlignment="1">
      <alignment horizontal="center"/>
    </xf>
    <xf numFmtId="164" fontId="24" fillId="0" borderId="37" xfId="44" applyNumberFormat="1" applyFont="1" applyFill="1" applyBorder="1" applyAlignment="1">
      <alignment horizontal="center"/>
    </xf>
    <xf numFmtId="164" fontId="24" fillId="0" borderId="35" xfId="44" applyNumberFormat="1" applyFont="1" applyFill="1" applyBorder="1" applyAlignment="1">
      <alignment horizontal="center"/>
    </xf>
    <xf numFmtId="3" fontId="24" fillId="0" borderId="59" xfId="0" applyNumberFormat="1" applyFont="1" applyFill="1" applyBorder="1" applyAlignment="1">
      <alignment horizontal="center"/>
    </xf>
    <xf numFmtId="164" fontId="24" fillId="0" borderId="69" xfId="44" applyNumberFormat="1" applyFont="1" applyFill="1" applyBorder="1" applyAlignment="1">
      <alignment horizontal="center"/>
    </xf>
    <xf numFmtId="164" fontId="24" fillId="0" borderId="59" xfId="44" applyNumberFormat="1" applyFont="1" applyFill="1" applyBorder="1" applyAlignment="1">
      <alignment horizontal="center"/>
    </xf>
    <xf numFmtId="164" fontId="24" fillId="0" borderId="38" xfId="44" applyNumberFormat="1" applyFont="1" applyFill="1" applyBorder="1" applyAlignment="1">
      <alignment horizontal="center"/>
    </xf>
    <xf numFmtId="0" fontId="91" fillId="0" borderId="0" xfId="0" applyFont="1" applyFill="1" applyBorder="1" applyAlignment="1">
      <alignment horizontal="center"/>
    </xf>
    <xf numFmtId="3" fontId="91" fillId="0" borderId="0" xfId="0" applyNumberFormat="1" applyFont="1" applyFill="1" applyBorder="1" applyAlignment="1">
      <alignment horizontal="center"/>
    </xf>
    <xf numFmtId="3" fontId="92" fillId="0" borderId="0" xfId="0" applyNumberFormat="1" applyFont="1" applyFill="1" applyBorder="1" applyAlignment="1">
      <alignment horizontal="center"/>
    </xf>
    <xf numFmtId="3" fontId="24" fillId="0" borderId="0" xfId="0" applyNumberFormat="1" applyFont="1" applyFill="1" applyBorder="1" applyAlignment="1">
      <alignment horizontal="center"/>
    </xf>
    <xf numFmtId="164" fontId="91" fillId="0" borderId="0" xfId="44" applyNumberFormat="1" applyFont="1" applyFill="1" applyBorder="1" applyAlignment="1">
      <alignment horizontal="center"/>
    </xf>
    <xf numFmtId="0" fontId="24" fillId="0" borderId="0" xfId="0" applyFont="1" applyFill="1" applyAlignment="1">
      <alignment horizontal="right"/>
    </xf>
    <xf numFmtId="3" fontId="24" fillId="0" borderId="0" xfId="0" applyNumberFormat="1" applyFont="1" applyFill="1" applyAlignment="1">
      <alignment horizontal="center"/>
    </xf>
    <xf numFmtId="166" fontId="24" fillId="0" borderId="0" xfId="0" applyNumberFormat="1" applyFont="1" applyFill="1" applyAlignment="1">
      <alignment horizontal="center"/>
    </xf>
    <xf numFmtId="164" fontId="24" fillId="0" borderId="0" xfId="44" applyNumberFormat="1" applyFont="1" applyFill="1" applyAlignment="1">
      <alignment horizontal="center"/>
    </xf>
    <xf numFmtId="10" fontId="24" fillId="0" borderId="0" xfId="44" applyNumberFormat="1" applyFont="1" applyFill="1" applyAlignment="1">
      <alignment horizontal="center"/>
    </xf>
    <xf numFmtId="0" fontId="36" fillId="0" borderId="0" xfId="0" quotePrefix="1" applyFont="1" applyFill="1" applyAlignment="1">
      <alignment horizontal="left"/>
    </xf>
    <xf numFmtId="164" fontId="44" fillId="0" borderId="0" xfId="44" applyNumberFormat="1" applyFont="1" applyFill="1"/>
    <xf numFmtId="10" fontId="44" fillId="0" borderId="0" xfId="44" applyNumberFormat="1" applyFont="1" applyFill="1"/>
    <xf numFmtId="0" fontId="24" fillId="0" borderId="70" xfId="0" applyFont="1" applyFill="1" applyBorder="1"/>
    <xf numFmtId="164" fontId="25" fillId="0" borderId="71" xfId="44" applyNumberFormat="1" applyFont="1" applyFill="1" applyBorder="1"/>
    <xf numFmtId="10" fontId="25" fillId="0" borderId="71" xfId="44" applyNumberFormat="1" applyFont="1" applyFill="1" applyBorder="1"/>
    <xf numFmtId="0" fontId="25" fillId="0" borderId="71" xfId="0" applyFont="1" applyFill="1" applyBorder="1"/>
    <xf numFmtId="0" fontId="25" fillId="0" borderId="72" xfId="0" applyFont="1" applyFill="1" applyBorder="1"/>
    <xf numFmtId="0" fontId="25" fillId="0" borderId="28" xfId="0" applyFont="1" applyFill="1" applyBorder="1"/>
    <xf numFmtId="164" fontId="25" fillId="0" borderId="0" xfId="44" applyNumberFormat="1" applyFont="1" applyFill="1" applyBorder="1" applyAlignment="1">
      <alignment horizontal="center"/>
    </xf>
    <xf numFmtId="2" fontId="25" fillId="0" borderId="0" xfId="0" applyNumberFormat="1" applyFont="1" applyFill="1" applyBorder="1" applyAlignment="1">
      <alignment horizontal="center"/>
    </xf>
    <xf numFmtId="2" fontId="25" fillId="0" borderId="14" xfId="0" applyNumberFormat="1" applyFont="1" applyFill="1" applyBorder="1" applyAlignment="1">
      <alignment horizontal="center"/>
    </xf>
    <xf numFmtId="164" fontId="25" fillId="0" borderId="51" xfId="44" applyNumberFormat="1" applyFont="1" applyFill="1" applyBorder="1" applyAlignment="1">
      <alignment horizontal="center"/>
    </xf>
    <xf numFmtId="2" fontId="25" fillId="0" borderId="51" xfId="0" applyNumberFormat="1" applyFont="1" applyFill="1" applyBorder="1" applyAlignment="1">
      <alignment horizontal="center"/>
    </xf>
    <xf numFmtId="2" fontId="25" fillId="0" borderId="76" xfId="0" applyNumberFormat="1" applyFont="1" applyFill="1" applyBorder="1" applyAlignment="1">
      <alignment horizontal="center"/>
    </xf>
    <xf numFmtId="0" fontId="25" fillId="0" borderId="28" xfId="0" applyFont="1" applyFill="1" applyBorder="1" applyAlignment="1">
      <alignment horizontal="right"/>
    </xf>
    <xf numFmtId="3" fontId="91" fillId="0" borderId="0" xfId="44" applyNumberFormat="1" applyFont="1" applyFill="1" applyBorder="1" applyAlignment="1">
      <alignment horizontal="center"/>
    </xf>
    <xf numFmtId="3" fontId="24" fillId="0" borderId="0" xfId="44" applyNumberFormat="1" applyFont="1" applyFill="1" applyBorder="1" applyAlignment="1">
      <alignment horizontal="center"/>
    </xf>
    <xf numFmtId="3" fontId="93" fillId="0" borderId="0" xfId="44" applyNumberFormat="1" applyFont="1" applyFill="1" applyBorder="1" applyAlignment="1">
      <alignment horizontal="center"/>
    </xf>
    <xf numFmtId="3" fontId="25" fillId="0" borderId="0" xfId="44" applyNumberFormat="1" applyFont="1" applyFill="1" applyBorder="1" applyAlignment="1">
      <alignment horizontal="right"/>
    </xf>
    <xf numFmtId="2" fontId="91" fillId="0" borderId="0" xfId="44" applyNumberFormat="1" applyFont="1" applyFill="1" applyBorder="1" applyAlignment="1">
      <alignment horizontal="center"/>
    </xf>
    <xf numFmtId="2" fontId="24" fillId="0" borderId="0" xfId="0" applyNumberFormat="1" applyFont="1" applyFill="1" applyBorder="1" applyAlignment="1">
      <alignment horizontal="center"/>
    </xf>
    <xf numFmtId="2" fontId="93" fillId="0" borderId="14" xfId="44" applyNumberFormat="1" applyFont="1" applyFill="1" applyBorder="1" applyAlignment="1">
      <alignment horizontal="center"/>
    </xf>
    <xf numFmtId="0" fontId="24" fillId="0" borderId="77" xfId="0" applyFont="1" applyFill="1" applyBorder="1"/>
    <xf numFmtId="0" fontId="24" fillId="0" borderId="78" xfId="0" applyFont="1" applyFill="1" applyBorder="1" applyAlignment="1">
      <alignment horizontal="center" wrapText="1"/>
    </xf>
    <xf numFmtId="0" fontId="24" fillId="25" borderId="78" xfId="0" applyFont="1" applyFill="1" applyBorder="1" applyAlignment="1">
      <alignment horizontal="center" wrapText="1"/>
    </xf>
    <xf numFmtId="0" fontId="24" fillId="0" borderId="79" xfId="0" applyFont="1" applyFill="1" applyBorder="1" applyAlignment="1">
      <alignment horizontal="center" wrapText="1"/>
    </xf>
    <xf numFmtId="0" fontId="24" fillId="0" borderId="80" xfId="0" applyFont="1" applyFill="1" applyBorder="1"/>
    <xf numFmtId="3" fontId="24" fillId="0" borderId="81" xfId="0" applyNumberFormat="1" applyFont="1" applyFill="1" applyBorder="1"/>
    <xf numFmtId="174" fontId="24" fillId="25" borderId="81" xfId="0" applyNumberFormat="1" applyFont="1" applyFill="1" applyBorder="1"/>
    <xf numFmtId="164" fontId="24" fillId="0" borderId="81" xfId="0" applyNumberFormat="1" applyFont="1" applyFill="1" applyBorder="1" applyAlignment="1">
      <alignment horizontal="center"/>
    </xf>
    <xf numFmtId="164" fontId="24" fillId="0" borderId="82" xfId="0" applyNumberFormat="1" applyFont="1" applyFill="1" applyBorder="1" applyAlignment="1">
      <alignment horizontal="center"/>
    </xf>
    <xf numFmtId="0" fontId="24" fillId="0" borderId="16" xfId="0" applyFont="1" applyFill="1" applyBorder="1"/>
    <xf numFmtId="3" fontId="24" fillId="0" borderId="83" xfId="0" applyNumberFormat="1" applyFont="1" applyFill="1" applyBorder="1"/>
    <xf numFmtId="174" fontId="24" fillId="25" borderId="83" xfId="0" applyNumberFormat="1" applyFont="1" applyFill="1" applyBorder="1"/>
    <xf numFmtId="164" fontId="24" fillId="0" borderId="83" xfId="0" applyNumberFormat="1" applyFont="1" applyFill="1" applyBorder="1" applyAlignment="1">
      <alignment horizontal="center"/>
    </xf>
    <xf numFmtId="164" fontId="24" fillId="0" borderId="84" xfId="0" applyNumberFormat="1" applyFont="1" applyFill="1" applyBorder="1" applyAlignment="1">
      <alignment horizontal="center"/>
    </xf>
    <xf numFmtId="0" fontId="24" fillId="0" borderId="68" xfId="0" applyFont="1" applyFill="1" applyBorder="1"/>
    <xf numFmtId="3" fontId="24" fillId="0" borderId="85" xfId="0" applyNumberFormat="1" applyFont="1" applyFill="1" applyBorder="1"/>
    <xf numFmtId="174" fontId="24" fillId="25" borderId="85" xfId="0" applyNumberFormat="1" applyFont="1" applyFill="1" applyBorder="1"/>
    <xf numFmtId="164" fontId="24" fillId="0" borderId="85" xfId="0" applyNumberFormat="1" applyFont="1" applyFill="1" applyBorder="1" applyAlignment="1">
      <alignment horizontal="center"/>
    </xf>
    <xf numFmtId="164" fontId="24" fillId="0" borderId="86" xfId="0" applyNumberFormat="1" applyFont="1" applyFill="1" applyBorder="1" applyAlignment="1">
      <alignment horizontal="center"/>
    </xf>
    <xf numFmtId="3" fontId="24" fillId="0" borderId="0" xfId="0" applyNumberFormat="1" applyFont="1" applyFill="1"/>
    <xf numFmtId="1" fontId="24" fillId="0" borderId="0" xfId="0" applyNumberFormat="1" applyFont="1" applyFill="1"/>
    <xf numFmtId="10" fontId="24" fillId="0" borderId="0" xfId="0" applyNumberFormat="1" applyFont="1" applyFill="1"/>
    <xf numFmtId="10" fontId="26" fillId="0" borderId="14" xfId="0" applyNumberFormat="1" applyFont="1" applyFill="1" applyBorder="1"/>
    <xf numFmtId="10" fontId="26" fillId="0" borderId="0" xfId="0" applyNumberFormat="1" applyFont="1" applyFill="1"/>
    <xf numFmtId="0" fontId="24" fillId="0" borderId="0" xfId="0" applyFont="1" applyFill="1" applyAlignment="1">
      <alignment horizontal="center"/>
    </xf>
    <xf numFmtId="0" fontId="24" fillId="0" borderId="0" xfId="0" quotePrefix="1" applyFont="1" applyFill="1" applyAlignment="1">
      <alignment wrapText="1"/>
    </xf>
    <xf numFmtId="0" fontId="24" fillId="0" borderId="0" xfId="0" applyFont="1" applyFill="1" applyAlignment="1">
      <alignment horizontal="center" wrapText="1"/>
    </xf>
    <xf numFmtId="3" fontId="24" fillId="0" borderId="88" xfId="0" applyNumberFormat="1" applyFont="1" applyFill="1" applyBorder="1" applyAlignment="1">
      <alignment horizontal="center" wrapText="1"/>
    </xf>
    <xf numFmtId="0" fontId="24" fillId="0" borderId="88" xfId="0" applyFont="1" applyFill="1" applyBorder="1" applyAlignment="1">
      <alignment horizontal="center" wrapText="1"/>
    </xf>
    <xf numFmtId="0" fontId="24" fillId="0" borderId="89" xfId="0" applyFont="1" applyFill="1" applyBorder="1" applyAlignment="1">
      <alignment horizontal="center" wrapText="1"/>
    </xf>
    <xf numFmtId="0" fontId="24" fillId="0" borderId="0" xfId="0" applyFont="1" applyFill="1" applyBorder="1" applyAlignment="1">
      <alignment horizontal="center" wrapText="1"/>
    </xf>
    <xf numFmtId="0" fontId="24" fillId="0" borderId="90" xfId="0" applyFont="1" applyFill="1" applyBorder="1" applyAlignment="1">
      <alignment horizontal="center" wrapText="1"/>
    </xf>
    <xf numFmtId="0" fontId="24" fillId="0" borderId="91" xfId="0" applyFont="1" applyFill="1" applyBorder="1" applyAlignment="1">
      <alignment horizontal="center" wrapText="1"/>
    </xf>
    <xf numFmtId="0" fontId="24" fillId="0" borderId="87" xfId="0" applyFont="1" applyFill="1" applyBorder="1" applyAlignment="1">
      <alignment horizontal="center" wrapText="1"/>
    </xf>
    <xf numFmtId="0" fontId="24" fillId="0" borderId="0" xfId="0" quotePrefix="1" applyFont="1" applyFill="1" applyBorder="1" applyAlignment="1">
      <alignment wrapText="1"/>
    </xf>
    <xf numFmtId="0" fontId="24" fillId="0" borderId="27" xfId="0" applyFont="1" applyFill="1" applyBorder="1"/>
    <xf numFmtId="0" fontId="24" fillId="0" borderId="92" xfId="0" applyFont="1" applyFill="1" applyBorder="1" applyAlignment="1">
      <alignment horizontal="right"/>
    </xf>
    <xf numFmtId="3" fontId="24" fillId="0" borderId="93" xfId="0" applyNumberFormat="1" applyFont="1" applyFill="1" applyBorder="1" applyAlignment="1">
      <alignment horizontal="center"/>
    </xf>
    <xf numFmtId="10" fontId="24" fillId="0" borderId="93" xfId="0" applyNumberFormat="1" applyFont="1" applyFill="1" applyBorder="1" applyAlignment="1">
      <alignment horizontal="center"/>
    </xf>
    <xf numFmtId="166" fontId="24" fillId="0" borderId="93" xfId="0" applyNumberFormat="1" applyFont="1" applyFill="1" applyBorder="1" applyAlignment="1">
      <alignment horizontal="center"/>
    </xf>
    <xf numFmtId="0" fontId="24" fillId="0" borderId="94" xfId="0" applyFont="1" applyFill="1" applyBorder="1" applyAlignment="1">
      <alignment horizontal="center"/>
    </xf>
    <xf numFmtId="0" fontId="24" fillId="0" borderId="0" xfId="0" applyFont="1" applyFill="1" applyBorder="1" applyAlignment="1">
      <alignment horizontal="center"/>
    </xf>
    <xf numFmtId="0" fontId="24" fillId="0" borderId="52" xfId="0" applyFont="1" applyFill="1" applyBorder="1"/>
    <xf numFmtId="0" fontId="24" fillId="0" borderId="95" xfId="0" applyFont="1" applyFill="1" applyBorder="1" applyAlignment="1">
      <alignment horizontal="right"/>
    </xf>
    <xf numFmtId="3" fontId="24" fillId="0" borderId="96" xfId="0" applyNumberFormat="1" applyFont="1" applyFill="1" applyBorder="1" applyAlignment="1">
      <alignment horizontal="center"/>
    </xf>
    <xf numFmtId="10" fontId="24" fillId="0" borderId="96" xfId="0" applyNumberFormat="1" applyFont="1" applyFill="1" applyBorder="1" applyAlignment="1">
      <alignment horizontal="center"/>
    </xf>
    <xf numFmtId="166" fontId="24" fillId="0" borderId="96" xfId="0" applyNumberFormat="1" applyFont="1" applyFill="1" applyBorder="1" applyAlignment="1">
      <alignment horizontal="center"/>
    </xf>
    <xf numFmtId="0" fontId="24" fillId="0" borderId="50" xfId="0" applyFont="1" applyFill="1" applyBorder="1" applyAlignment="1">
      <alignment horizontal="center"/>
    </xf>
    <xf numFmtId="3" fontId="24" fillId="0" borderId="99" xfId="0" applyNumberFormat="1" applyFont="1" applyFill="1" applyBorder="1" applyAlignment="1">
      <alignment horizontal="center"/>
    </xf>
    <xf numFmtId="164" fontId="24" fillId="0" borderId="48" xfId="44" applyNumberFormat="1" applyFont="1" applyFill="1" applyBorder="1" applyAlignment="1">
      <alignment horizontal="center"/>
    </xf>
    <xf numFmtId="3" fontId="24" fillId="0" borderId="39" xfId="0" applyNumberFormat="1" applyFont="1" applyFill="1" applyBorder="1" applyAlignment="1">
      <alignment horizontal="center"/>
    </xf>
    <xf numFmtId="10" fontId="24" fillId="0" borderId="39" xfId="0" applyNumberFormat="1" applyFont="1" applyFill="1" applyBorder="1" applyAlignment="1">
      <alignment horizontal="center"/>
    </xf>
    <xf numFmtId="166" fontId="24" fillId="0" borderId="39" xfId="0" applyNumberFormat="1" applyFont="1" applyFill="1" applyBorder="1" applyAlignment="1">
      <alignment horizontal="center"/>
    </xf>
    <xf numFmtId="10" fontId="24" fillId="0" borderId="26" xfId="44" applyNumberFormat="1" applyFont="1" applyFill="1" applyBorder="1" applyAlignment="1">
      <alignment horizontal="center"/>
    </xf>
    <xf numFmtId="10" fontId="24" fillId="0" borderId="0" xfId="44" applyNumberFormat="1" applyFont="1" applyFill="1" applyBorder="1" applyAlignment="1">
      <alignment horizontal="center"/>
    </xf>
    <xf numFmtId="0" fontId="24" fillId="25" borderId="87" xfId="0" applyFont="1" applyFill="1" applyBorder="1"/>
    <xf numFmtId="0" fontId="24" fillId="25" borderId="90" xfId="0" applyFont="1" applyFill="1" applyBorder="1" applyAlignment="1">
      <alignment horizontal="right"/>
    </xf>
    <xf numFmtId="3" fontId="24" fillId="25" borderId="90" xfId="0" applyNumberFormat="1" applyFont="1" applyFill="1" applyBorder="1" applyAlignment="1">
      <alignment horizontal="center"/>
    </xf>
    <xf numFmtId="10" fontId="24" fillId="25" borderId="90" xfId="0" applyNumberFormat="1" applyFont="1" applyFill="1" applyBorder="1" applyAlignment="1">
      <alignment horizontal="center"/>
    </xf>
    <xf numFmtId="166" fontId="24" fillId="25" borderId="90" xfId="0" applyNumberFormat="1" applyFont="1" applyFill="1" applyBorder="1" applyAlignment="1">
      <alignment horizontal="center"/>
    </xf>
    <xf numFmtId="10" fontId="24" fillId="25" borderId="91" xfId="44" applyNumberFormat="1" applyFont="1" applyFill="1" applyBorder="1" applyAlignment="1">
      <alignment horizontal="center"/>
    </xf>
    <xf numFmtId="3" fontId="24" fillId="0" borderId="97" xfId="0" applyNumberFormat="1" applyFont="1" applyFill="1" applyBorder="1" applyAlignment="1">
      <alignment horizontal="center"/>
    </xf>
    <xf numFmtId="164" fontId="24" fillId="0" borderId="123" xfId="44" applyNumberFormat="1" applyFont="1" applyFill="1" applyBorder="1" applyAlignment="1">
      <alignment horizontal="center"/>
    </xf>
    <xf numFmtId="0" fontId="24" fillId="0" borderId="28" xfId="0" applyFont="1" applyFill="1" applyBorder="1"/>
    <xf numFmtId="0" fontId="24" fillId="0" borderId="40" xfId="0" applyFont="1" applyFill="1" applyBorder="1" applyAlignment="1">
      <alignment horizontal="right"/>
    </xf>
    <xf numFmtId="0" fontId="24" fillId="0" borderId="26" xfId="0" applyFont="1" applyFill="1" applyBorder="1" applyAlignment="1">
      <alignment horizontal="center"/>
    </xf>
    <xf numFmtId="37" fontId="24" fillId="0" borderId="36" xfId="28" applyNumberFormat="1" applyFont="1" applyFill="1" applyBorder="1" applyAlignment="1">
      <alignment horizontal="center" shrinkToFit="1"/>
    </xf>
    <xf numFmtId="9" fontId="24" fillId="0" borderId="35" xfId="28" applyNumberFormat="1" applyFont="1" applyFill="1" applyBorder="1" applyAlignment="1">
      <alignment horizontal="center" shrinkToFit="1"/>
    </xf>
    <xf numFmtId="1" fontId="24" fillId="0" borderId="96" xfId="0" applyNumberFormat="1" applyFont="1" applyFill="1" applyBorder="1" applyAlignment="1">
      <alignment horizontal="center"/>
    </xf>
    <xf numFmtId="10" fontId="24" fillId="0" borderId="37" xfId="0" applyNumberFormat="1" applyFont="1" applyFill="1" applyBorder="1" applyAlignment="1">
      <alignment horizontal="center"/>
    </xf>
    <xf numFmtId="166" fontId="24" fillId="0" borderId="37" xfId="0" applyNumberFormat="1" applyFont="1" applyFill="1" applyBorder="1" applyAlignment="1">
      <alignment horizontal="center"/>
    </xf>
    <xf numFmtId="10" fontId="24" fillId="0" borderId="35" xfId="0" applyNumberFormat="1" applyFont="1" applyFill="1" applyBorder="1" applyAlignment="1">
      <alignment horizontal="center"/>
    </xf>
    <xf numFmtId="10" fontId="24" fillId="0" borderId="0" xfId="0" applyNumberFormat="1" applyFont="1" applyFill="1" applyBorder="1" applyAlignment="1">
      <alignment horizontal="center"/>
    </xf>
    <xf numFmtId="0" fontId="24" fillId="0" borderId="0" xfId="0" applyFont="1" applyFill="1" applyAlignment="1"/>
    <xf numFmtId="178" fontId="25" fillId="0" borderId="0" xfId="0" applyNumberFormat="1" applyFont="1" applyAlignment="1">
      <alignment horizontal="center"/>
    </xf>
    <xf numFmtId="168" fontId="94" fillId="35" borderId="17" xfId="0" applyNumberFormat="1" applyFont="1" applyFill="1" applyBorder="1" applyAlignment="1">
      <alignment horizontal="center"/>
    </xf>
    <xf numFmtId="0" fontId="49"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64" fillId="0" borderId="27" xfId="0" applyFont="1" applyBorder="1" applyAlignment="1">
      <alignment horizontal="center" wrapText="1"/>
    </xf>
    <xf numFmtId="0" fontId="64" fillId="0" borderId="58" xfId="0" applyFont="1" applyBorder="1" applyAlignment="1">
      <alignment horizontal="center" wrapText="1"/>
    </xf>
    <xf numFmtId="0" fontId="68" fillId="0" borderId="211" xfId="0" applyFont="1" applyBorder="1" applyAlignment="1">
      <alignment horizontal="center"/>
    </xf>
    <xf numFmtId="0" fontId="68" fillId="0" borderId="88" xfId="0" applyFont="1" applyBorder="1" applyAlignment="1">
      <alignment horizontal="center"/>
    </xf>
    <xf numFmtId="0" fontId="68" fillId="0" borderId="212" xfId="0" applyFont="1" applyBorder="1" applyAlignment="1">
      <alignment horizontal="center"/>
    </xf>
    <xf numFmtId="0" fontId="68" fillId="0" borderId="27" xfId="0" applyFont="1" applyBorder="1" applyAlignment="1">
      <alignment horizontal="center"/>
    </xf>
    <xf numFmtId="0" fontId="68" fillId="0" borderId="44" xfId="0" applyFont="1" applyBorder="1" applyAlignment="1">
      <alignment horizontal="center"/>
    </xf>
    <xf numFmtId="0" fontId="68" fillId="0" borderId="58" xfId="0" applyFont="1" applyBorder="1" applyAlignment="1">
      <alignment horizontal="center"/>
    </xf>
    <xf numFmtId="0" fontId="64" fillId="0" borderId="44" xfId="0" applyFont="1" applyBorder="1" applyAlignment="1">
      <alignment horizontal="center" wrapText="1"/>
    </xf>
    <xf numFmtId="0" fontId="64" fillId="0" borderId="27" xfId="0" applyFont="1" applyBorder="1" applyAlignment="1">
      <alignment horizontal="center" vertical="center" wrapText="1"/>
    </xf>
    <xf numFmtId="0" fontId="64"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0" fillId="0" borderId="42" xfId="0" applyFont="1" applyFill="1" applyBorder="1" applyAlignment="1">
      <alignment horizontal="center"/>
    </xf>
    <xf numFmtId="0" fontId="45" fillId="0" borderId="77" xfId="41" applyFont="1" applyBorder="1" applyAlignment="1">
      <alignment horizontal="left"/>
    </xf>
    <xf numFmtId="0" fontId="45" fillId="0" borderId="78" xfId="41" applyFont="1" applyBorder="1" applyAlignment="1">
      <alignment horizontal="left"/>
    </xf>
    <xf numFmtId="0" fontId="45" fillId="0" borderId="79" xfId="41" applyFont="1" applyBorder="1" applyAlignment="1">
      <alignment horizontal="left"/>
    </xf>
    <xf numFmtId="0" fontId="45" fillId="0" borderId="126" xfId="41" applyFont="1" applyBorder="1" applyAlignment="1">
      <alignment horizontal="center"/>
    </xf>
    <xf numFmtId="0" fontId="45" fillId="0" borderId="78" xfId="41" applyFont="1" applyBorder="1" applyAlignment="1">
      <alignment horizontal="center"/>
    </xf>
    <xf numFmtId="0" fontId="45"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45"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45" fillId="0" borderId="0" xfId="41" applyFont="1" applyAlignment="1">
      <alignment horizontal="right"/>
    </xf>
    <xf numFmtId="0" fontId="45" fillId="0" borderId="40" xfId="41" applyFont="1" applyBorder="1" applyAlignment="1">
      <alignment horizontal="right"/>
    </xf>
    <xf numFmtId="0" fontId="45" fillId="0" borderId="222" xfId="41" applyFont="1" applyBorder="1" applyAlignment="1">
      <alignment horizontal="left"/>
    </xf>
    <xf numFmtId="0" fontId="45" fillId="0" borderId="223" xfId="41" applyFont="1" applyBorder="1" applyAlignment="1">
      <alignment horizontal="left"/>
    </xf>
    <xf numFmtId="0" fontId="45"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42" fillId="0" borderId="34" xfId="40" applyFont="1" applyFill="1" applyBorder="1" applyAlignment="1">
      <alignment horizontal="center"/>
    </xf>
    <xf numFmtId="0" fontId="42"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42" fillId="0" borderId="87" xfId="40" applyFont="1" applyFill="1" applyBorder="1" applyAlignment="1">
      <alignment horizontal="center"/>
    </xf>
    <xf numFmtId="0" fontId="42" fillId="0" borderId="90" xfId="40" applyFont="1" applyFill="1" applyBorder="1" applyAlignment="1">
      <alignment horizontal="center"/>
    </xf>
    <xf numFmtId="0" fontId="42" fillId="0" borderId="91" xfId="40" applyFont="1" applyFill="1" applyBorder="1" applyAlignment="1">
      <alignment horizontal="center"/>
    </xf>
    <xf numFmtId="0" fontId="42" fillId="0" borderId="87" xfId="40" applyFont="1" applyFill="1" applyBorder="1" applyAlignment="1">
      <alignment horizontal="center" wrapText="1"/>
    </xf>
    <xf numFmtId="0" fontId="42" fillId="0" borderId="90" xfId="40" applyFont="1" applyFill="1" applyBorder="1" applyAlignment="1">
      <alignment horizontal="center" wrapText="1"/>
    </xf>
    <xf numFmtId="0" fontId="42" fillId="0" borderId="91" xfId="40" applyFont="1" applyFill="1" applyBorder="1" applyAlignment="1">
      <alignment horizontal="center" wrapText="1"/>
    </xf>
    <xf numFmtId="0" fontId="28" fillId="0" borderId="27" xfId="40" quotePrefix="1" applyFont="1" applyFill="1" applyBorder="1" applyAlignment="1">
      <alignment horizontal="center"/>
    </xf>
    <xf numFmtId="0" fontId="68" fillId="0" borderId="70" xfId="40" applyFont="1" applyFill="1" applyBorder="1" applyAlignment="1">
      <alignment horizontal="center"/>
    </xf>
    <xf numFmtId="0" fontId="68" fillId="0" borderId="71" xfId="40" applyFont="1" applyFill="1" applyBorder="1" applyAlignment="1">
      <alignment horizontal="center"/>
    </xf>
    <xf numFmtId="0" fontId="68" fillId="0" borderId="72" xfId="40" applyFont="1" applyFill="1" applyBorder="1" applyAlignment="1">
      <alignment horizontal="center"/>
    </xf>
    <xf numFmtId="0" fontId="80" fillId="0" borderId="126" xfId="40" applyFont="1" applyFill="1" applyBorder="1" applyAlignment="1">
      <alignment horizontal="center"/>
    </xf>
    <xf numFmtId="0" fontId="80" fillId="0" borderId="78" xfId="40" applyFont="1" applyFill="1" applyBorder="1" applyAlignment="1">
      <alignment horizontal="center"/>
    </xf>
    <xf numFmtId="0" fontId="80" fillId="0" borderId="129" xfId="40" applyFont="1" applyFill="1" applyBorder="1" applyAlignment="1">
      <alignment horizontal="center"/>
    </xf>
    <xf numFmtId="164" fontId="68" fillId="0" borderId="126" xfId="44" applyNumberFormat="1" applyFont="1" applyFill="1" applyBorder="1" applyAlignment="1">
      <alignment horizontal="center"/>
    </xf>
    <xf numFmtId="164" fontId="68" fillId="0" borderId="78" xfId="44" applyNumberFormat="1" applyFont="1" applyFill="1" applyBorder="1" applyAlignment="1">
      <alignment horizontal="center"/>
    </xf>
    <xf numFmtId="164" fontId="68" fillId="0" borderId="129" xfId="44" applyNumberFormat="1" applyFont="1" applyFill="1" applyBorder="1" applyAlignment="1">
      <alignment horizontal="center"/>
    </xf>
    <xf numFmtId="0" fontId="80" fillId="0" borderId="173" xfId="0" applyFont="1" applyBorder="1" applyAlignment="1">
      <alignment horizontal="center" vertical="center" wrapText="1"/>
    </xf>
    <xf numFmtId="0" fontId="80" fillId="0" borderId="57" xfId="0" applyFont="1" applyBorder="1" applyAlignment="1">
      <alignment horizontal="center" vertical="center" wrapText="1"/>
    </xf>
    <xf numFmtId="0" fontId="80" fillId="0" borderId="174" xfId="0" applyFont="1" applyBorder="1" applyAlignment="1">
      <alignment horizontal="center" vertical="center" wrapText="1"/>
    </xf>
    <xf numFmtId="0" fontId="58" fillId="0" borderId="27" xfId="0" applyFont="1" applyBorder="1" applyAlignment="1">
      <alignment horizontal="center" wrapText="1"/>
    </xf>
    <xf numFmtId="0" fontId="58" fillId="0" borderId="58" xfId="0" applyFont="1" applyBorder="1" applyAlignment="1">
      <alignment horizontal="center" wrapText="1"/>
    </xf>
    <xf numFmtId="0" fontId="58" fillId="0" borderId="28" xfId="0" applyFont="1" applyBorder="1" applyAlignment="1">
      <alignment horizontal="center" wrapText="1"/>
    </xf>
    <xf numFmtId="0" fontId="58" fillId="0" borderId="14" xfId="0" applyFont="1" applyBorder="1" applyAlignment="1">
      <alignment horizontal="center" wrapText="1"/>
    </xf>
    <xf numFmtId="0" fontId="24" fillId="0" borderId="44" xfId="0" applyFont="1" applyFill="1" applyBorder="1" applyAlignment="1">
      <alignment horizontal="center"/>
    </xf>
    <xf numFmtId="0" fontId="24" fillId="0" borderId="27" xfId="0" applyFont="1" applyFill="1" applyBorder="1" applyAlignment="1">
      <alignment horizontal="center"/>
    </xf>
    <xf numFmtId="0" fontId="24" fillId="0" borderId="58" xfId="0" applyFont="1" applyFill="1" applyBorder="1" applyAlignment="1">
      <alignment horizontal="center"/>
    </xf>
    <xf numFmtId="0" fontId="24" fillId="0" borderId="27" xfId="0" quotePrefix="1" applyFont="1" applyFill="1" applyBorder="1" applyAlignment="1">
      <alignment horizontal="center" wrapText="1"/>
    </xf>
    <xf numFmtId="0" fontId="24" fillId="0" borderId="58" xfId="0" quotePrefix="1" applyFont="1" applyFill="1" applyBorder="1" applyAlignment="1">
      <alignment horizontal="center" wrapText="1"/>
    </xf>
    <xf numFmtId="0" fontId="24" fillId="0" borderId="34" xfId="0" quotePrefix="1" applyFont="1" applyFill="1" applyBorder="1" applyAlignment="1">
      <alignment horizontal="center" wrapText="1"/>
    </xf>
    <xf numFmtId="0" fontId="24" fillId="0" borderId="38" xfId="0" quotePrefix="1" applyFont="1" applyFill="1" applyBorder="1" applyAlignment="1">
      <alignment horizontal="center" wrapText="1"/>
    </xf>
    <xf numFmtId="0" fontId="24" fillId="0" borderId="87" xfId="0" quotePrefix="1" applyFont="1" applyFill="1" applyBorder="1" applyAlignment="1">
      <alignment horizontal="center" wrapText="1"/>
    </xf>
    <xf numFmtId="0" fontId="24" fillId="0" borderId="90" xfId="0" quotePrefix="1" applyFont="1" applyFill="1" applyBorder="1" applyAlignment="1">
      <alignment horizontal="center" wrapText="1"/>
    </xf>
    <xf numFmtId="0" fontId="24" fillId="0" borderId="91" xfId="0" quotePrefix="1" applyFont="1" applyFill="1" applyBorder="1" applyAlignment="1">
      <alignment horizontal="center" wrapText="1"/>
    </xf>
    <xf numFmtId="0" fontId="24" fillId="0" borderId="87" xfId="0" applyFont="1" applyFill="1" applyBorder="1" applyAlignment="1">
      <alignment horizontal="center" wrapText="1"/>
    </xf>
    <xf numFmtId="0" fontId="24" fillId="0" borderId="175" xfId="0" applyFont="1" applyFill="1" applyBorder="1" applyAlignment="1">
      <alignment horizontal="center" wrapText="1"/>
    </xf>
    <xf numFmtId="0" fontId="24" fillId="0" borderId="98" xfId="0" applyFont="1" applyFill="1" applyBorder="1" applyAlignment="1">
      <alignment horizontal="center"/>
    </xf>
    <xf numFmtId="0" fontId="24"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4" fillId="0" borderId="178" xfId="0" applyFont="1" applyFill="1" applyBorder="1" applyAlignment="1">
      <alignment horizontal="right"/>
    </xf>
    <xf numFmtId="0" fontId="24" fillId="0" borderId="179" xfId="0" applyFont="1" applyFill="1" applyBorder="1" applyAlignment="1">
      <alignment horizontal="right"/>
    </xf>
    <xf numFmtId="0" fontId="24" fillId="0" borderId="99" xfId="0" applyFont="1" applyFill="1" applyBorder="1" applyAlignment="1">
      <alignment horizontal="right"/>
    </xf>
    <xf numFmtId="0" fontId="24" fillId="0" borderId="48" xfId="0" applyFont="1" applyFill="1" applyBorder="1" applyAlignment="1">
      <alignment horizontal="right"/>
    </xf>
    <xf numFmtId="0" fontId="24" fillId="0" borderId="97" xfId="0" applyFont="1" applyFill="1" applyBorder="1" applyAlignment="1">
      <alignment horizontal="right"/>
    </xf>
    <xf numFmtId="0" fontId="24" fillId="0" borderId="123" xfId="0" applyFont="1" applyFill="1" applyBorder="1" applyAlignment="1">
      <alignment horizontal="right"/>
    </xf>
    <xf numFmtId="0" fontId="24" fillId="0" borderId="36" xfId="0" applyFont="1" applyFill="1" applyBorder="1" applyAlignment="1">
      <alignment horizontal="right"/>
    </xf>
    <xf numFmtId="0" fontId="24" fillId="0" borderId="35" xfId="0" applyFont="1" applyFill="1" applyBorder="1" applyAlignment="1">
      <alignment horizontal="right"/>
    </xf>
    <xf numFmtId="0" fontId="37" fillId="0" borderId="180" xfId="0" applyFont="1" applyFill="1" applyBorder="1" applyAlignment="1">
      <alignment horizontal="center"/>
    </xf>
    <xf numFmtId="0" fontId="24" fillId="0" borderId="176" xfId="0" applyFont="1" applyFill="1" applyBorder="1" applyAlignment="1">
      <alignment horizontal="center"/>
    </xf>
    <xf numFmtId="0" fontId="24" fillId="0" borderId="177" xfId="0" applyFont="1" applyFill="1" applyBorder="1" applyAlignment="1">
      <alignment horizontal="center"/>
    </xf>
    <xf numFmtId="0" fontId="24" fillId="0" borderId="87" xfId="0" applyFont="1" applyFill="1" applyBorder="1" applyAlignment="1">
      <alignment horizontal="right"/>
    </xf>
    <xf numFmtId="0" fontId="24"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c:v>
                </c:pt>
                <c:pt idx="1">
                  <c:v>56.093640539386179</c:v>
                </c:pt>
                <c:pt idx="2">
                  <c:v>100.48595658335795</c:v>
                </c:pt>
                <c:pt idx="3">
                  <c:v>158.67262778500285</c:v>
                </c:pt>
                <c:pt idx="4">
                  <c:v>216.85929898664773</c:v>
                </c:pt>
                <c:pt idx="5">
                  <c:v>261.2516150306198</c:v>
                </c:pt>
                <c:pt idx="6">
                  <c:v>317.34525557000597</c:v>
                </c:pt>
                <c:pt idx="7">
                  <c:v>789.61182657478776</c:v>
                </c:pt>
                <c:pt idx="8">
                  <c:v>1061.6613667538663</c:v>
                </c:pt>
                <c:pt idx="9">
                  <c:v>1411.7421836692938</c:v>
                </c:pt>
                <c:pt idx="10">
                  <c:v>1798.6264412343999</c:v>
                </c:pt>
                <c:pt idx="11">
                  <c:v>2160.4417350947924</c:v>
                </c:pt>
                <c:pt idx="12">
                  <c:v>2449.6659056070375</c:v>
                </c:pt>
                <c:pt idx="13">
                  <c:v>2653.214291100534</c:v>
                </c:pt>
                <c:pt idx="14">
                  <c:v>2969.3397886276944</c:v>
                </c:pt>
                <c:pt idx="15">
                  <c:v>2895.7768629079928</c:v>
                </c:pt>
                <c:pt idx="16">
                  <c:v>2863.2057782587199</c:v>
                </c:pt>
                <c:pt idx="17">
                  <c:v>2818.410980900901</c:v>
                </c:pt>
                <c:pt idx="18">
                  <c:v>2758.8644575475328</c:v>
                </c:pt>
                <c:pt idx="19">
                  <c:v>2683.1874914687123</c:v>
                </c:pt>
                <c:pt idx="20">
                  <c:v>2592.3199103182387</c:v>
                </c:pt>
                <c:pt idx="21">
                  <c:v>2490.3654636028668</c:v>
                </c:pt>
                <c:pt idx="22">
                  <c:v>2384.3192269544652</c:v>
                </c:pt>
                <c:pt idx="23">
                  <c:v>2282.3647802390942</c:v>
                </c:pt>
                <c:pt idx="24">
                  <c:v>2191.4971990886206</c:v>
                </c:pt>
                <c:pt idx="25">
                  <c:v>2115.8202330098011</c:v>
                </c:pt>
                <c:pt idx="26">
                  <c:v>2056.2737096564329</c:v>
                </c:pt>
                <c:pt idx="27">
                  <c:v>2011.478912298614</c:v>
                </c:pt>
                <c:pt idx="28">
                  <c:v>1978.9078276493401</c:v>
                </c:pt>
                <c:pt idx="29">
                  <c:v>1905.3449019296386</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6764</c:v>
                </c:pt>
                <c:pt idx="1">
                  <c:v>6526.4968865290921</c:v>
                </c:pt>
                <c:pt idx="2">
                  <c:v>6338.5377315652649</c:v>
                </c:pt>
                <c:pt idx="3">
                  <c:v>6092.1726277850039</c:v>
                </c:pt>
                <c:pt idx="4">
                  <c:v>5845.8075240047401</c:v>
                </c:pt>
                <c:pt idx="5">
                  <c:v>5657.8483690409121</c:v>
                </c:pt>
                <c:pt idx="6">
                  <c:v>5420.345255570006</c:v>
                </c:pt>
                <c:pt idx="7">
                  <c:v>5474.124371933759</c:v>
                </c:pt>
                <c:pt idx="8">
                  <c:v>5505.1038754096626</c:v>
                </c:pt>
                <c:pt idx="9">
                  <c:v>5544.9691509669747</c:v>
                </c:pt>
                <c:pt idx="10">
                  <c:v>5589.0253996712408</c:v>
                </c:pt>
                <c:pt idx="11">
                  <c:v>5630.2269328420189</c:v>
                </c:pt>
                <c:pt idx="12">
                  <c:v>5663.1621886406565</c:v>
                </c:pt>
                <c:pt idx="13">
                  <c:v>5686.3411578525129</c:v>
                </c:pt>
                <c:pt idx="14">
                  <c:v>5722.3397886276944</c:v>
                </c:pt>
                <c:pt idx="15">
                  <c:v>5312.5567247782974</c:v>
                </c:pt>
                <c:pt idx="16">
                  <c:v>5131.1191496696956</c:v>
                </c:pt>
                <c:pt idx="17">
                  <c:v>4881.5892522898248</c:v>
                </c:pt>
                <c:pt idx="18">
                  <c:v>4549.8847076079164</c:v>
                </c:pt>
                <c:pt idx="19">
                  <c:v>4128.3253593464224</c:v>
                </c:pt>
                <c:pt idx="20">
                  <c:v>3622.1465274942798</c:v>
                </c:pt>
                <c:pt idx="21">
                  <c:v>3054.2081925334464</c:v>
                </c:pt>
                <c:pt idx="22">
                  <c:v>2463.4764980238861</c:v>
                </c:pt>
                <c:pt idx="23">
                  <c:v>1895.5381630630527</c:v>
                </c:pt>
                <c:pt idx="24">
                  <c:v>1389.3593312109106</c:v>
                </c:pt>
                <c:pt idx="25">
                  <c:v>967.79998294941925</c:v>
                </c:pt>
                <c:pt idx="26">
                  <c:v>636.09543826750723</c:v>
                </c:pt>
                <c:pt idx="27">
                  <c:v>386.5655408876446</c:v>
                </c:pt>
                <c:pt idx="28">
                  <c:v>205.12796577903191</c:v>
                </c:pt>
                <c:pt idx="29">
                  <c:v>200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322656</c:v>
                </c:pt>
                <c:pt idx="1">
                  <c:v>298419.92295999225</c:v>
                </c:pt>
                <c:pt idx="2">
                  <c:v>279239.57414896064</c:v>
                </c:pt>
                <c:pt idx="3">
                  <c:v>254099.1726277851</c:v>
                </c:pt>
                <c:pt idx="4">
                  <c:v>228958.77110660941</c:v>
                </c:pt>
                <c:pt idx="5">
                  <c:v>209778.42229557762</c:v>
                </c:pt>
                <c:pt idx="6">
                  <c:v>185542.34525557002</c:v>
                </c:pt>
                <c:pt idx="7">
                  <c:v>170348.93464156563</c:v>
                </c:pt>
                <c:pt idx="8">
                  <c:v>161596.7581694987</c:v>
                </c:pt>
                <c:pt idx="9">
                  <c:v>150334.21721055318</c:v>
                </c:pt>
                <c:pt idx="10">
                  <c:v>137887.66319599573</c:v>
                </c:pt>
                <c:pt idx="11">
                  <c:v>126247.60932906227</c:v>
                </c:pt>
                <c:pt idx="12">
                  <c:v>116942.90336027401</c:v>
                </c:pt>
                <c:pt idx="13">
                  <c:v>110394.49534138641</c:v>
                </c:pt>
                <c:pt idx="14">
                  <c:v>100224.33978862769</c:v>
                </c:pt>
                <c:pt idx="15">
                  <c:v>94214.897784330038</c:v>
                </c:pt>
                <c:pt idx="16">
                  <c:v>91554.127534888234</c:v>
                </c:pt>
                <c:pt idx="17">
                  <c:v>87894.787803869549</c:v>
                </c:pt>
                <c:pt idx="18">
                  <c:v>83030.362209744679</c:v>
                </c:pt>
                <c:pt idx="19">
                  <c:v>76848.221759747772</c:v>
                </c:pt>
                <c:pt idx="20">
                  <c:v>69425.142081333906</c:v>
                </c:pt>
                <c:pt idx="21">
                  <c:v>61096.363302865648</c:v>
                </c:pt>
                <c:pt idx="22">
                  <c:v>52433.321387691685</c:v>
                </c:pt>
                <c:pt idx="23">
                  <c:v>44104.542609223434</c:v>
                </c:pt>
                <c:pt idx="24">
                  <c:v>36681.462930809561</c:v>
                </c:pt>
                <c:pt idx="25">
                  <c:v>30499.322480812902</c:v>
                </c:pt>
                <c:pt idx="26">
                  <c:v>25634.896886687784</c:v>
                </c:pt>
                <c:pt idx="27">
                  <c:v>21975.55715566923</c:v>
                </c:pt>
                <c:pt idx="28">
                  <c:v>19314.786906227353</c:v>
                </c:pt>
                <c:pt idx="29">
                  <c:v>13305.344901929639</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110885</c:v>
                </c:pt>
                <c:pt idx="1">
                  <c:v>103165.28701461111</c:v>
                </c:pt>
                <c:pt idx="2">
                  <c:v>97055.9324546141</c:v>
                </c:pt>
                <c:pt idx="3">
                  <c:v>89048.172627785025</c:v>
                </c:pt>
                <c:pt idx="4">
                  <c:v>81040.412800955906</c:v>
                </c:pt>
                <c:pt idx="5">
                  <c:v>74931.058240958897</c:v>
                </c:pt>
                <c:pt idx="6">
                  <c:v>67211.345255570006</c:v>
                </c:pt>
                <c:pt idx="7">
                  <c:v>64798.719586070685</c:v>
                </c:pt>
                <c:pt idx="8">
                  <c:v>63408.924617912984</c:v>
                </c:pt>
                <c:pt idx="9">
                  <c:v>61620.498298657571</c:v>
                </c:pt>
                <c:pt idx="10">
                  <c:v>59644.057558969223</c:v>
                </c:pt>
                <c:pt idx="11">
                  <c:v>57795.684374884229</c:v>
                </c:pt>
                <c:pt idx="12">
                  <c:v>56318.150920562184</c:v>
                </c:pt>
                <c:pt idx="13">
                  <c:v>55278.301627858862</c:v>
                </c:pt>
                <c:pt idx="14">
                  <c:v>53663.339788627694</c:v>
                </c:pt>
                <c:pt idx="15">
                  <c:v>50970.191254518912</c:v>
                </c:pt>
                <c:pt idx="16">
                  <c:v>49777.759496002982</c:v>
                </c:pt>
                <c:pt idx="17">
                  <c:v>48137.815982886335</c:v>
                </c:pt>
                <c:pt idx="18">
                  <c:v>45957.809811143656</c:v>
                </c:pt>
                <c:pt idx="19">
                  <c:v>43187.265977180985</c:v>
                </c:pt>
                <c:pt idx="20">
                  <c:v>39860.591696907373</c:v>
                </c:pt>
                <c:pt idx="21">
                  <c:v>36128.025787775332</c:v>
                </c:pt>
                <c:pt idx="22">
                  <c:v>32245.658902781968</c:v>
                </c:pt>
                <c:pt idx="23">
                  <c:v>28513.09299364996</c:v>
                </c:pt>
                <c:pt idx="24">
                  <c:v>25186.418713376344</c:v>
                </c:pt>
                <c:pt idx="25">
                  <c:v>22415.874879413739</c:v>
                </c:pt>
                <c:pt idx="26">
                  <c:v>20235.868707671027</c:v>
                </c:pt>
                <c:pt idx="27">
                  <c:v>18595.925194554351</c:v>
                </c:pt>
                <c:pt idx="28">
                  <c:v>17403.493436038385</c:v>
                </c:pt>
                <c:pt idx="29">
                  <c:v>14710.344901929639</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160383</c:v>
                </c:pt>
                <c:pt idx="1">
                  <c:v>148220.27195813757</c:v>
                </c:pt>
                <c:pt idx="2">
                  <c:v>138594.73041725426</c:v>
                </c:pt>
                <c:pt idx="3">
                  <c:v>125978.17262778507</c:v>
                </c:pt>
                <c:pt idx="4">
                  <c:v>113361.61483831584</c:v>
                </c:pt>
                <c:pt idx="5">
                  <c:v>103736.07329743257</c:v>
                </c:pt>
                <c:pt idx="6">
                  <c:v>91573.345255570006</c:v>
                </c:pt>
                <c:pt idx="7">
                  <c:v>84674.890231854704</c:v>
                </c:pt>
                <c:pt idx="8">
                  <c:v>80701.0296362277</c:v>
                </c:pt>
                <c:pt idx="9">
                  <c:v>75587.356726839964</c:v>
                </c:pt>
                <c:pt idx="10">
                  <c:v>69936.091500681592</c:v>
                </c:pt>
                <c:pt idx="11">
                  <c:v>64651.011664778984</c:v>
                </c:pt>
                <c:pt idx="12">
                  <c:v>60426.2791629524</c:v>
                </c:pt>
                <c:pt idx="13">
                  <c:v>57453.023233596017</c:v>
                </c:pt>
                <c:pt idx="14">
                  <c:v>52835.339788627694</c:v>
                </c:pt>
                <c:pt idx="15">
                  <c:v>50378.506375252487</c:v>
                </c:pt>
                <c:pt idx="16">
                  <c:v>49290.706667814069</c:v>
                </c:pt>
                <c:pt idx="17">
                  <c:v>47794.66292271619</c:v>
                </c:pt>
                <c:pt idx="18">
                  <c:v>45805.94528005043</c:v>
                </c:pt>
                <c:pt idx="19">
                  <c:v>43278.507755423605</c:v>
                </c:pt>
                <c:pt idx="20">
                  <c:v>40243.738442227608</c:v>
                </c:pt>
                <c:pt idx="21">
                  <c:v>36838.693184961274</c:v>
                </c:pt>
                <c:pt idx="22">
                  <c:v>33296.991505596015</c:v>
                </c:pt>
                <c:pt idx="23">
                  <c:v>29891.946248329699</c:v>
                </c:pt>
                <c:pt idx="24">
                  <c:v>26857.176935133706</c:v>
                </c:pt>
                <c:pt idx="25">
                  <c:v>24329.739410506987</c:v>
                </c:pt>
                <c:pt idx="26">
                  <c:v>22341.021767841143</c:v>
                </c:pt>
                <c:pt idx="27">
                  <c:v>20844.978022743286</c:v>
                </c:pt>
                <c:pt idx="28">
                  <c:v>19757.178315304824</c:v>
                </c:pt>
                <c:pt idx="29">
                  <c:v>17300.344901929639</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6.2715736371404072</c:v>
                </c:pt>
                <c:pt idx="1">
                  <c:v>6.4448212492846597</c:v>
                </c:pt>
                <c:pt idx="2">
                  <c:v>6.5819288193802565</c:v>
                </c:pt>
                <c:pt idx="3">
                  <c:v>6.76164084640103</c:v>
                </c:pt>
                <c:pt idx="4">
                  <c:v>6.9413528734218035</c:v>
                </c:pt>
                <c:pt idx="5">
                  <c:v>7.0784604435174012</c:v>
                </c:pt>
                <c:pt idx="6">
                  <c:v>7.2517080556616538</c:v>
                </c:pt>
                <c:pt idx="7">
                  <c:v>7.455517029020279</c:v>
                </c:pt>
                <c:pt idx="8">
                  <c:v>7.5729213529566914</c:v>
                </c:pt>
                <c:pt idx="9">
                  <c:v>7.7240004601149232</c:v>
                </c:pt>
                <c:pt idx="10">
                  <c:v>7.8909622740226872</c:v>
                </c:pt>
                <c:pt idx="11">
                  <c:v>8.0471054527156998</c:v>
                </c:pt>
                <c:pt idx="12">
                  <c:v>8.171921573274874</c:v>
                </c:pt>
                <c:pt idx="13">
                  <c:v>8.2597638852724664</c:v>
                </c:pt>
                <c:pt idx="14">
                  <c:v>8.3961894064911657</c:v>
                </c:pt>
                <c:pt idx="15">
                  <c:v>8.5301870170009053</c:v>
                </c:pt>
                <c:pt idx="16">
                  <c:v>8.5895164614461006</c:v>
                </c:pt>
                <c:pt idx="17">
                  <c:v>8.6711118541047174</c:v>
                </c:pt>
                <c:pt idx="18">
                  <c:v>8.779578065385067</c:v>
                </c:pt>
                <c:pt idx="19">
                  <c:v>8.917426479188336</c:v>
                </c:pt>
                <c:pt idx="20">
                  <c:v>9.082945164420595</c:v>
                </c:pt>
                <c:pt idx="21">
                  <c:v>9.2686589884296851</c:v>
                </c:pt>
                <c:pt idx="22">
                  <c:v>9.4618261602817224</c:v>
                </c:pt>
                <c:pt idx="23">
                  <c:v>9.6475399842908107</c:v>
                </c:pt>
                <c:pt idx="24">
                  <c:v>9.8130586695230697</c:v>
                </c:pt>
                <c:pt idx="25">
                  <c:v>9.9509070833263369</c:v>
                </c:pt>
                <c:pt idx="26">
                  <c:v>10.059373294606686</c:v>
                </c:pt>
                <c:pt idx="27">
                  <c:v>10.140968687265303</c:v>
                </c:pt>
                <c:pt idx="28">
                  <c:v>10.2002981317105</c:v>
                </c:pt>
                <c:pt idx="29">
                  <c:v>10.33429574222024</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7.8534604064263362</c:v>
                </c:pt>
                <c:pt idx="1">
                  <c:v>8.1090433158871154</c:v>
                </c:pt>
                <c:pt idx="2">
                  <c:v>8.3113107598098193</c:v>
                </c:pt>
                <c:pt idx="3">
                  <c:v>8.5764302737966496</c:v>
                </c:pt>
                <c:pt idx="4">
                  <c:v>8.8415497877834817</c:v>
                </c:pt>
                <c:pt idx="5">
                  <c:v>9.0438172317061873</c:v>
                </c:pt>
                <c:pt idx="6">
                  <c:v>9.2994001411669647</c:v>
                </c:pt>
                <c:pt idx="7">
                  <c:v>9.5544731395984464</c:v>
                </c:pt>
                <c:pt idx="8">
                  <c:v>9.7014081466385278</c:v>
                </c:pt>
                <c:pt idx="9">
                  <c:v>9.8904881475244188</c:v>
                </c:pt>
                <c:pt idx="10">
                  <c:v>10.099445828804107</c:v>
                </c:pt>
                <c:pt idx="11">
                  <c:v>10.294863665995049</c:v>
                </c:pt>
                <c:pt idx="12">
                  <c:v>10.45107475718971</c:v>
                </c:pt>
                <c:pt idx="13">
                  <c:v>10.561012026099618</c:v>
                </c:pt>
                <c:pt idx="14">
                  <c:v>10.731752627881656</c:v>
                </c:pt>
                <c:pt idx="15">
                  <c:v>10.92350634297406</c:v>
                </c:pt>
                <c:pt idx="16">
                  <c:v>11.008408165801022</c:v>
                </c:pt>
                <c:pt idx="17">
                  <c:v>11.125173081363275</c:v>
                </c:pt>
                <c:pt idx="18">
                  <c:v>11.280390766931575</c:v>
                </c:pt>
                <c:pt idx="19">
                  <c:v>11.477655071614461</c:v>
                </c:pt>
                <c:pt idx="20">
                  <c:v>11.714516181971264</c:v>
                </c:pt>
                <c:pt idx="21">
                  <c:v>11.980277008319515</c:v>
                </c:pt>
                <c:pt idx="22">
                  <c:v>12.256703749778673</c:v>
                </c:pt>
                <c:pt idx="23">
                  <c:v>12.522464576126923</c:v>
                </c:pt>
                <c:pt idx="24">
                  <c:v>12.759325686483727</c:v>
                </c:pt>
                <c:pt idx="25">
                  <c:v>12.956589991166611</c:v>
                </c:pt>
                <c:pt idx="26">
                  <c:v>13.111807676734912</c:v>
                </c:pt>
                <c:pt idx="27">
                  <c:v>13.228572592297162</c:v>
                </c:pt>
                <c:pt idx="28">
                  <c:v>13.31347441512413</c:v>
                </c:pt>
                <c:pt idx="29">
                  <c:v>13.505228130216532</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21.689853677728362</c:v>
                </c:pt>
                <c:pt idx="1">
                  <c:v>22.19940685512551</c:v>
                </c:pt>
                <c:pt idx="2">
                  <c:v>22.602665503961841</c:v>
                </c:pt>
                <c:pt idx="3">
                  <c:v>23.131231717669131</c:v>
                </c:pt>
                <c:pt idx="4">
                  <c:v>23.659797931376424</c:v>
                </c:pt>
                <c:pt idx="5">
                  <c:v>24.063056580212759</c:v>
                </c:pt>
                <c:pt idx="6">
                  <c:v>24.572609757609904</c:v>
                </c:pt>
                <c:pt idx="7">
                  <c:v>25.009017225245607</c:v>
                </c:pt>
                <c:pt idx="8">
                  <c:v>25.260410099927405</c:v>
                </c:pt>
                <c:pt idx="9">
                  <c:v>25.583909352590688</c:v>
                </c:pt>
                <c:pt idx="10">
                  <c:v>25.941417568242894</c:v>
                </c:pt>
                <c:pt idx="11">
                  <c:v>26.275760301436016</c:v>
                </c:pt>
                <c:pt idx="12">
                  <c:v>26.543023740310684</c:v>
                </c:pt>
                <c:pt idx="13">
                  <c:v>26.731116738859274</c:v>
                </c:pt>
                <c:pt idx="14">
                  <c:v>27.02323889253487</c:v>
                </c:pt>
                <c:pt idx="15">
                  <c:v>27.357118035121307</c:v>
                </c:pt>
                <c:pt idx="16">
                  <c:v>27.50494801482122</c:v>
                </c:pt>
                <c:pt idx="17">
                  <c:v>27.708257608449255</c:v>
                </c:pt>
                <c:pt idx="18">
                  <c:v>27.978520678694451</c:v>
                </c:pt>
                <c:pt idx="19">
                  <c:v>28.321994790154012</c:v>
                </c:pt>
                <c:pt idx="20" formatCode="0.000">
                  <c:v>28.734414358660903</c:v>
                </c:pt>
                <c:pt idx="21" formatCode="0.000">
                  <c:v>29.197153747003181</c:v>
                </c:pt>
                <c:pt idx="22" formatCode="0.000">
                  <c:v>29.678464491787828</c:v>
                </c:pt>
                <c:pt idx="23" formatCode="0.000">
                  <c:v>30.141203880130107</c:v>
                </c:pt>
                <c:pt idx="24" formatCode="0.000">
                  <c:v>30.553623448636998</c:v>
                </c:pt>
                <c:pt idx="25" formatCode="0.000">
                  <c:v>30.897097560096544</c:v>
                </c:pt>
                <c:pt idx="26" formatCode="0.000">
                  <c:v>31.167360630341754</c:v>
                </c:pt>
                <c:pt idx="27" formatCode="0.000">
                  <c:v>31.370670223969782</c:v>
                </c:pt>
                <c:pt idx="28" formatCode="0.000">
                  <c:v>31.518500203669699</c:v>
                </c:pt>
                <c:pt idx="29">
                  <c:v>31.852379346256139</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14.211564793539933</c:v>
                </c:pt>
                <c:pt idx="1">
                  <c:v>14.59752595258467</c:v>
                </c:pt>
                <c:pt idx="2">
                  <c:v>14.902974299104111</c:v>
                </c:pt>
                <c:pt idx="3">
                  <c:v>15.303336886413325</c:v>
                </c:pt>
                <c:pt idx="4">
                  <c:v>15.703699473722541</c:v>
                </c:pt>
                <c:pt idx="5">
                  <c:v>16.009147820241981</c:v>
                </c:pt>
                <c:pt idx="6">
                  <c:v>16.395108979286718</c:v>
                </c:pt>
                <c:pt idx="7">
                  <c:v>16.68189178943247</c:v>
                </c:pt>
                <c:pt idx="8">
                  <c:v>16.847093259156285</c:v>
                </c:pt>
                <c:pt idx="9">
                  <c:v>17.059679045695283</c:v>
                </c:pt>
                <c:pt idx="10">
                  <c:v>17.29461363856646</c:v>
                </c:pt>
                <c:pt idx="11">
                  <c:v>17.514325159765665</c:v>
                </c:pt>
                <c:pt idx="12">
                  <c:v>17.689955885025572</c:v>
                </c:pt>
                <c:pt idx="13">
                  <c:v>17.813560183056364</c:v>
                </c:pt>
                <c:pt idx="14">
                  <c:v>18.005526678475846</c:v>
                </c:pt>
                <c:pt idx="15">
                  <c:v>18.314707421534624</c:v>
                </c:pt>
                <c:pt idx="16">
                  <c:v>18.451601815763365</c:v>
                </c:pt>
                <c:pt idx="17">
                  <c:v>18.639871770999093</c:v>
                </c:pt>
                <c:pt idx="18">
                  <c:v>18.890142381593236</c:v>
                </c:pt>
                <c:pt idx="19">
                  <c:v>19.208208314612769</c:v>
                </c:pt>
                <c:pt idx="20" formatCode="0.000">
                  <c:v>19.59011952851835</c:v>
                </c:pt>
                <c:pt idx="21" formatCode="0.000">
                  <c:v>20.018628200314726</c:v>
                </c:pt>
                <c:pt idx="22" formatCode="0.000">
                  <c:v>20.464334429706291</c:v>
                </c:pt>
                <c:pt idx="23" formatCode="0.000">
                  <c:v>20.892843101502663</c:v>
                </c:pt>
                <c:pt idx="24" formatCode="0.000">
                  <c:v>21.274754315408245</c:v>
                </c:pt>
                <c:pt idx="25" formatCode="0.000">
                  <c:v>21.59282024842777</c:v>
                </c:pt>
                <c:pt idx="26" formatCode="0.000">
                  <c:v>21.843090859021917</c:v>
                </c:pt>
                <c:pt idx="27" formatCode="0.000">
                  <c:v>22.031360814257649</c:v>
                </c:pt>
                <c:pt idx="28" formatCode="0.000">
                  <c:v>22.168255208486393</c:v>
                </c:pt>
                <c:pt idx="29">
                  <c:v>22.477435951545168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PHEV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9.3353952631421162</c:v>
                </c:pt>
                <c:pt idx="1">
                  <c:v>9.6911832900695583</c:v>
                </c:pt>
                <c:pt idx="2">
                  <c:v>9.9727527226139525</c:v>
                </c:pt>
                <c:pt idx="3">
                  <c:v>10.341816323072781</c:v>
                </c:pt>
                <c:pt idx="4">
                  <c:v>10.710879923531609</c:v>
                </c:pt>
                <c:pt idx="5">
                  <c:v>10.992449356076003</c:v>
                </c:pt>
                <c:pt idx="6">
                  <c:v>11.348237383003449</c:v>
                </c:pt>
                <c:pt idx="7">
                  <c:v>11.644927703965985</c:v>
                </c:pt>
                <c:pt idx="8">
                  <c:v>11.815836403308635</c:v>
                </c:pt>
                <c:pt idx="9">
                  <c:v>12.035766409602504</c:v>
                </c:pt>
                <c:pt idx="10">
                  <c:v>12.278817308394961</c:v>
                </c:pt>
                <c:pt idx="11">
                  <c:v>12.50611922272738</c:v>
                </c:pt>
                <c:pt idx="12">
                  <c:v>12.687817478008999</c:v>
                </c:pt>
                <c:pt idx="13">
                  <c:v>12.81569194453113</c:v>
                </c:pt>
                <c:pt idx="14">
                  <c:v>13.014290323252339</c:v>
                </c:pt>
                <c:pt idx="15">
                  <c:v>13.220853913739502</c:v>
                </c:pt>
                <c:pt idx="16">
                  <c:v>13.312313030208726</c:v>
                </c:pt>
                <c:pt idx="17">
                  <c:v>13.438096148360287</c:v>
                </c:pt>
                <c:pt idx="18">
                  <c:v>13.605301891532696</c:v>
                </c:pt>
                <c:pt idx="19">
                  <c:v>13.817801675594843</c:v>
                </c:pt>
                <c:pt idx="20" formatCode="0.000">
                  <c:v>14.07295647861131</c:v>
                </c:pt>
                <c:pt idx="21" formatCode="0.000">
                  <c:v>14.359243033606482</c:v>
                </c:pt>
                <c:pt idx="22" formatCode="0.000">
                  <c:v>14.657019273273885</c:v>
                </c:pt>
                <c:pt idx="23" formatCode="0.000">
                  <c:v>14.943305828269056</c:v>
                </c:pt>
                <c:pt idx="24" formatCode="0.000">
                  <c:v>15.198460631285522</c:v>
                </c:pt>
                <c:pt idx="25" formatCode="0.000">
                  <c:v>15.410960415347661</c:v>
                </c:pt>
                <c:pt idx="26" formatCode="0.000">
                  <c:v>15.578166158520077</c:v>
                </c:pt>
                <c:pt idx="27" formatCode="0.000">
                  <c:v>15.703949276671636</c:v>
                </c:pt>
                <c:pt idx="28" formatCode="0.000">
                  <c:v>15.795408393140864</c:v>
                </c:pt>
                <c:pt idx="29">
                  <c:v>16.001971983628025</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extLst>
          <c:ext xmlns:c15="http://schemas.microsoft.com/office/drawing/2012/chart" uri="{02D57815-91ED-43cb-92C2-25804820EDAC}">
            <c15:filteredScatterSeries>
              <c15:ser>
                <c:idx val="0"/>
                <c:order val="0"/>
                <c:tx>
                  <c:strRef>
                    <c:extLst>
                      <c:ext uri="{02D57815-91ED-43cb-92C2-25804820EDAC}">
                        <c15:formulaRef>
                          <c15:sqref>'Fuel Prices'!$L$10</c15:sqref>
                        </c15:formulaRef>
                      </c:ext>
                    </c:extLst>
                    <c:strCache>
                      <c:ptCount val="1"/>
                      <c:pt idx="0">
                        <c:v>LPG</c:v>
                      </c:pt>
                    </c:strCache>
                  </c:strRef>
                </c:tx>
                <c:spPr>
                  <a:ln w="19050" cap="rnd">
                    <a:solidFill>
                      <a:schemeClr val="accent1"/>
                    </a:solidFill>
                    <a:round/>
                  </a:ln>
                  <a:effectLst/>
                </c:spPr>
                <c:marker>
                  <c:symbol val="none"/>
                </c:marker>
                <c:xVal>
                  <c:numRef>
                    <c:extLst>
                      <c:ex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c:ext uri="{02D57815-91ED-43cb-92C2-25804820EDAC}">
                        <c15:formulaRef>
                          <c15:sqref>'Fuel Prices'!$L$20:$L$54</c15:sqref>
                        </c15:formulaRef>
                      </c:ext>
                    </c:extLst>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15:ser>
            </c15:filteredScatterSeries>
            <c15:filteredScatterSeries>
              <c15:ser>
                <c:idx val="1"/>
                <c:order val="1"/>
                <c:tx>
                  <c:strRef>
                    <c:extLst xmlns:c15="http://schemas.microsoft.com/office/drawing/2012/chart">
                      <c:ext xmlns:c15="http://schemas.microsoft.com/office/drawing/2012/chart" uri="{02D57815-91ED-43cb-92C2-25804820EDAC}">
                        <c15:formulaRef>
                          <c15:sqref>'Fuel Prices'!$M$10</c15:sqref>
                        </c15:formulaRef>
                      </c:ext>
                    </c:extLst>
                    <c:strCache>
                      <c:ptCount val="1"/>
                      <c:pt idx="0">
                        <c:v>E85</c:v>
                      </c:pt>
                    </c:strCache>
                  </c:strRef>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Prices'!$M$20:$M$54</c15:sqref>
                        </c15:formulaRef>
                      </c:ext>
                    </c:extLst>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xmlns:c15="http://schemas.microsoft.com/office/drawing/2012/chart">
                  <c:ext xmlns:c16="http://schemas.microsoft.com/office/drawing/2014/chart" uri="{C3380CC4-5D6E-409C-BE32-E72D297353CC}">
                    <c16:uniqueId val="{00000001-4541-4D22-B6C9-430A005C3FBE}"/>
                  </c:ext>
                </c:extLst>
              </c15:ser>
            </c15:filteredScatterSeries>
            <c15:filteredScatterSeries>
              <c15:ser>
                <c:idx val="2"/>
                <c:order val="2"/>
                <c:tx>
                  <c:strRef>
                    <c:extLst xmlns:c15="http://schemas.microsoft.com/office/drawing/2012/chart">
                      <c:ext xmlns:c15="http://schemas.microsoft.com/office/drawing/2012/chart" uri="{02D57815-91ED-43cb-92C2-25804820EDAC}">
                        <c15:formulaRef>
                          <c15:sqref>'Fuel Prices'!$N$10</c15:sqref>
                        </c15:formulaRef>
                      </c:ext>
                    </c:extLst>
                    <c:strCache>
                      <c:ptCount val="1"/>
                      <c:pt idx="0">
                        <c:v>Gasoline</c:v>
                      </c:pt>
                    </c:strCache>
                  </c:strRef>
                </c:tx>
                <c:spPr>
                  <a:ln w="19050" cap="rnd">
                    <a:solidFill>
                      <a:schemeClr val="accent3"/>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Prices'!$N$20:$N$54</c15:sqref>
                        </c15:formulaRef>
                      </c:ext>
                    </c:extLst>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xmlns:c15="http://schemas.microsoft.com/office/drawing/2012/chart">
                  <c:ext xmlns:c16="http://schemas.microsoft.com/office/drawing/2014/chart" uri="{C3380CC4-5D6E-409C-BE32-E72D297353CC}">
                    <c16:uniqueId val="{00000002-4541-4D22-B6C9-430A005C3FBE}"/>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'Fuel Prices'!$O$10</c15:sqref>
                        </c15:formulaRef>
                      </c:ext>
                    </c:extLst>
                    <c:strCache>
                      <c:ptCount val="1"/>
                      <c:pt idx="0">
                        <c:v>Jet Fuel</c:v>
                      </c:pt>
                    </c:strCache>
                  </c:strRef>
                </c:tx>
                <c:spPr>
                  <a:ln w="19050" cap="rnd">
                    <a:solidFill>
                      <a:schemeClr val="accent4"/>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Prices'!$O$20:$O$54</c15:sqref>
                        </c15:formulaRef>
                      </c:ext>
                    </c:extLst>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xmlns:c15="http://schemas.microsoft.com/office/drawing/2012/chart">
                  <c:ext xmlns:c16="http://schemas.microsoft.com/office/drawing/2014/chart" uri="{C3380CC4-5D6E-409C-BE32-E72D297353CC}">
                    <c16:uniqueId val="{00000003-4541-4D22-B6C9-430A005C3FBE}"/>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'Fuel Prices'!$Q$10</c15:sqref>
                        </c15:formulaRef>
                      </c:ext>
                    </c:extLst>
                    <c:strCache>
                      <c:ptCount val="1"/>
                      <c:pt idx="0">
                        <c:v>Residual Fuel Oil</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Prices'!$Q$20:$Q$54</c15:sqref>
                        </c15:formulaRef>
                      </c:ext>
                    </c:extLst>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xmlns:c15="http://schemas.microsoft.com/office/drawing/2012/chart">
                  <c:ext xmlns:c16="http://schemas.microsoft.com/office/drawing/2014/chart" uri="{C3380CC4-5D6E-409C-BE32-E72D297353CC}">
                    <c16:uniqueId val="{00000005-4541-4D22-B6C9-430A005C3FBE}"/>
                  </c:ext>
                </c:extLst>
              </c15:ser>
            </c15:filteredScatterSeries>
            <c15:filteredScatterSeries>
              <c15:ser>
                <c:idx val="6"/>
                <c:order val="6"/>
                <c:tx>
                  <c:strRef>
                    <c:extLst xmlns:c15="http://schemas.microsoft.com/office/drawing/2012/chart">
                      <c:ext xmlns:c15="http://schemas.microsoft.com/office/drawing/2012/chart" uri="{02D57815-91ED-43cb-92C2-25804820EDAC}">
                        <c15:formulaRef>
                          <c15:sqref>'Fuel Prices'!$R$10</c15:sqref>
                        </c15:formulaRef>
                      </c:ext>
                    </c:extLst>
                    <c:strCache>
                      <c:ptCount val="1"/>
                      <c:pt idx="0">
                        <c:v>CNG</c:v>
                      </c:pt>
                    </c:strCache>
                  </c:strRef>
                </c:tx>
                <c:spPr>
                  <a:ln w="19050" cap="rnd">
                    <a:solidFill>
                      <a:schemeClr val="accent1">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Prices'!$R$20:$R$54</c15:sqref>
                        </c15:formulaRef>
                      </c:ext>
                    </c:extLst>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xmlns:c15="http://schemas.microsoft.com/office/drawing/2012/chart">
                  <c:ext xmlns:c16="http://schemas.microsoft.com/office/drawing/2014/chart" uri="{C3380CC4-5D6E-409C-BE32-E72D297353CC}">
                    <c16:uniqueId val="{00000006-4541-4D22-B6C9-430A005C3FBE}"/>
                  </c:ext>
                </c:extLst>
              </c15:ser>
            </c15:filteredScatterSeries>
          </c:ext>
        </c:extLst>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extLst>
          <c:ext xmlns:c15="http://schemas.microsoft.com/office/drawing/2012/chart" uri="{02D57815-91ED-43cb-92C2-25804820EDAC}">
            <c15:filteredScatterSeries>
              <c15:ser>
                <c:idx val="0"/>
                <c:order val="0"/>
                <c:tx>
                  <c:strRef>
                    <c:extLst>
                      <c:ext uri="{02D57815-91ED-43cb-92C2-25804820EDAC}">
                        <c15:formulaRef>
                          <c15:sqref>'Fuel Prices'!$AH$10</c15:sqref>
                        </c15:formulaRef>
                      </c:ext>
                    </c:extLst>
                    <c:strCache>
                      <c:ptCount val="1"/>
                      <c:pt idx="0">
                        <c:v>LPG</c:v>
                      </c:pt>
                    </c:strCache>
                  </c:strRef>
                </c:tx>
                <c:spPr>
                  <a:ln w="19050" cap="rnd">
                    <a:solidFill>
                      <a:schemeClr val="accent1"/>
                    </a:solidFill>
                    <a:round/>
                  </a:ln>
                  <a:effectLst/>
                </c:spPr>
                <c:marker>
                  <c:symbol val="none"/>
                </c:marker>
                <c:xVal>
                  <c:numRef>
                    <c:extLst>
                      <c:ex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c:ext uri="{02D57815-91ED-43cb-92C2-25804820EDAC}">
                        <c15:formulaRef>
                          <c15:sqref>'Fuel Prices'!$AH$20:$AH$54</c15:sqref>
                        </c15:formulaRef>
                      </c:ext>
                    </c:extLst>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15:ser>
            </c15:filteredScatterSeries>
            <c15:filteredScatterSeries>
              <c15:ser>
                <c:idx val="1"/>
                <c:order val="1"/>
                <c:tx>
                  <c:strRef>
                    <c:extLst xmlns:c15="http://schemas.microsoft.com/office/drawing/2012/chart">
                      <c:ext xmlns:c15="http://schemas.microsoft.com/office/drawing/2012/chart" uri="{02D57815-91ED-43cb-92C2-25804820EDAC}">
                        <c15:formulaRef>
                          <c15:sqref>'Fuel Prices'!$AI$10</c15:sqref>
                        </c15:formulaRef>
                      </c:ext>
                    </c:extLst>
                    <c:strCache>
                      <c:ptCount val="1"/>
                      <c:pt idx="0">
                        <c:v>E85</c:v>
                      </c:pt>
                    </c:strCache>
                  </c:strRef>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Prices'!$AI$20:$AI$54</c15:sqref>
                        </c15:formulaRef>
                      </c:ext>
                    </c:extLst>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xmlns:c15="http://schemas.microsoft.com/office/drawing/2012/chart">
                  <c:ext xmlns:c16="http://schemas.microsoft.com/office/drawing/2014/chart" uri="{C3380CC4-5D6E-409C-BE32-E72D297353CC}">
                    <c16:uniqueId val="{00000001-2885-41ED-88DC-8D510D19064A}"/>
                  </c:ext>
                </c:extLst>
              </c15:ser>
            </c15:filteredScatterSeries>
            <c15:filteredScatterSeries>
              <c15:ser>
                <c:idx val="2"/>
                <c:order val="2"/>
                <c:tx>
                  <c:strRef>
                    <c:extLst xmlns:c15="http://schemas.microsoft.com/office/drawing/2012/chart">
                      <c:ext xmlns:c15="http://schemas.microsoft.com/office/drawing/2012/chart" uri="{02D57815-91ED-43cb-92C2-25804820EDAC}">
                        <c15:formulaRef>
                          <c15:sqref>'Fuel Prices'!$AJ$10</c15:sqref>
                        </c15:formulaRef>
                      </c:ext>
                    </c:extLst>
                    <c:strCache>
                      <c:ptCount val="1"/>
                      <c:pt idx="0">
                        <c:v>Gasoline</c:v>
                      </c:pt>
                    </c:strCache>
                  </c:strRef>
                </c:tx>
                <c:spPr>
                  <a:ln w="19050" cap="rnd">
                    <a:solidFill>
                      <a:schemeClr val="accent3"/>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Prices'!$AJ$20:$AJ$54</c15:sqref>
                        </c15:formulaRef>
                      </c:ext>
                    </c:extLst>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xmlns:c15="http://schemas.microsoft.com/office/drawing/2012/chart">
                  <c:ext xmlns:c16="http://schemas.microsoft.com/office/drawing/2014/chart" uri="{C3380CC4-5D6E-409C-BE32-E72D297353CC}">
                    <c16:uniqueId val="{00000002-2885-41ED-88DC-8D510D19064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'Fuel Prices'!$AK$10</c15:sqref>
                        </c15:formulaRef>
                      </c:ext>
                    </c:extLst>
                    <c:strCache>
                      <c:ptCount val="1"/>
                      <c:pt idx="0">
                        <c:v>Jet Fuel</c:v>
                      </c:pt>
                    </c:strCache>
                  </c:strRef>
                </c:tx>
                <c:spPr>
                  <a:ln w="19050" cap="rnd">
                    <a:solidFill>
                      <a:schemeClr val="accent4"/>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Prices'!$AK$20:$AK$54</c15:sqref>
                        </c15:formulaRef>
                      </c:ext>
                    </c:extLst>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xmlns:c15="http://schemas.microsoft.com/office/drawing/2012/chart">
                  <c:ext xmlns:c16="http://schemas.microsoft.com/office/drawing/2014/chart" uri="{C3380CC4-5D6E-409C-BE32-E72D297353CC}">
                    <c16:uniqueId val="{00000003-2885-41ED-88DC-8D510D19064A}"/>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'Fuel Prices'!$AM$10</c15:sqref>
                        </c15:formulaRef>
                      </c:ext>
                    </c:extLst>
                    <c:strCache>
                      <c:ptCount val="1"/>
                      <c:pt idx="0">
                        <c:v>Residual Fuel Oil</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Prices'!$AM$20:$AM$54</c15:sqref>
                        </c15:formulaRef>
                      </c:ext>
                    </c:extLst>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xmlns:c15="http://schemas.microsoft.com/office/drawing/2012/chart">
                  <c:ext xmlns:c16="http://schemas.microsoft.com/office/drawing/2014/chart" uri="{C3380CC4-5D6E-409C-BE32-E72D297353CC}">
                    <c16:uniqueId val="{00000005-2885-41ED-88DC-8D510D19064A}"/>
                  </c:ext>
                </c:extLst>
              </c15:ser>
            </c15:filteredScatterSeries>
            <c15:filteredScatterSeries>
              <c15:ser>
                <c:idx val="6"/>
                <c:order val="6"/>
                <c:tx>
                  <c:strRef>
                    <c:extLst xmlns:c15="http://schemas.microsoft.com/office/drawing/2012/chart">
                      <c:ext xmlns:c15="http://schemas.microsoft.com/office/drawing/2012/chart" uri="{02D57815-91ED-43cb-92C2-25804820EDAC}">
                        <c15:formulaRef>
                          <c15:sqref>'Fuel Prices'!$AN$10</c15:sqref>
                        </c15:formulaRef>
                      </c:ext>
                    </c:extLst>
                    <c:strCache>
                      <c:ptCount val="1"/>
                      <c:pt idx="0">
                        <c:v>CNG</c:v>
                      </c:pt>
                    </c:strCache>
                  </c:strRef>
                </c:tx>
                <c:spPr>
                  <a:ln w="19050" cap="rnd">
                    <a:solidFill>
                      <a:schemeClr val="accent1">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'Fuel Prices'!$K$20:$K$54</c15:sqref>
                        </c15:formulaRef>
                      </c:ext>
                    </c:extLst>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extLst xmlns:c15="http://schemas.microsoft.com/office/drawing/2012/chart">
                      <c:ext xmlns:c15="http://schemas.microsoft.com/office/drawing/2012/chart" uri="{02D57815-91ED-43cb-92C2-25804820EDAC}">
                        <c15:formulaRef>
                          <c15:sqref>'Fuel Prices'!$AN$20:$AN$54</c15:sqref>
                        </c15:formulaRef>
                      </c:ext>
                    </c:extLst>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xmlns:c15="http://schemas.microsoft.com/office/drawing/2012/chart">
                  <c:ext xmlns:c16="http://schemas.microsoft.com/office/drawing/2014/chart" uri="{C3380CC4-5D6E-409C-BE32-E72D297353CC}">
                    <c16:uniqueId val="{00000006-2885-41ED-88DC-8D510D19064A}"/>
                  </c:ext>
                </c:extLst>
              </c15:ser>
            </c15:filteredScatterSeries>
          </c:ext>
        </c:extLst>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1.6032622521745536E-2</c:v>
                </c:pt>
                <c:pt idx="7">
                  <c:v>2.1345440342575777E-2</c:v>
                </c:pt>
                <c:pt idx="8">
                  <c:v>0.12309014373321323</c:v>
                </c:pt>
                <c:pt idx="9">
                  <c:v>0.24283090345441322</c:v>
                </c:pt>
                <c:pt idx="10">
                  <c:v>0.37106026739571024</c:v>
                </c:pt>
                <c:pt idx="11">
                  <c:v>0.45172843574851124</c:v>
                </c:pt>
                <c:pt idx="12">
                  <c:v>0.49459806674945928</c:v>
                </c:pt>
                <c:pt idx="13">
                  <c:v>0.50628071024845034</c:v>
                </c:pt>
                <c:pt idx="14">
                  <c:v>0.5114687556284172</c:v>
                </c:pt>
                <c:pt idx="15">
                  <c:v>0.51500727014862013</c:v>
                </c:pt>
                <c:pt idx="16">
                  <c:v>0.51107835064279361</c:v>
                </c:pt>
                <c:pt idx="17">
                  <c:v>0.50448754724500844</c:v>
                </c:pt>
                <c:pt idx="18">
                  <c:v>0.49871498408612136</c:v>
                </c:pt>
                <c:pt idx="19">
                  <c:v>0.49642853095549566</c:v>
                </c:pt>
                <c:pt idx="20">
                  <c:v>0.49052549348431773</c:v>
                </c:pt>
                <c:pt idx="21">
                  <c:v>0.48636823743108876</c:v>
                </c:pt>
                <c:pt idx="22">
                  <c:v>0.48109472002289932</c:v>
                </c:pt>
                <c:pt idx="23">
                  <c:v>0.47422789532941667</c:v>
                </c:pt>
                <c:pt idx="24">
                  <c:v>0.45532440370820859</c:v>
                </c:pt>
                <c:pt idx="25">
                  <c:v>0.4090658725127545</c:v>
                </c:pt>
                <c:pt idx="26">
                  <c:v>0.35674733799987673</c:v>
                </c:pt>
                <c:pt idx="27">
                  <c:v>0.31670660253651028</c:v>
                </c:pt>
                <c:pt idx="28">
                  <c:v>0.28958747852212374</c:v>
                </c:pt>
                <c:pt idx="29">
                  <c:v>0.27387271850910738</c:v>
                </c:pt>
                <c:pt idx="30">
                  <c:v>0.25487674243178532</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1.0843160239892126E-2</c:v>
                </c:pt>
                <c:pt idx="7">
                  <c:v>2.3173408955140563E-2</c:v>
                </c:pt>
                <c:pt idx="8">
                  <c:v>8.3238285320814287E-2</c:v>
                </c:pt>
                <c:pt idx="9">
                  <c:v>0.1657514961782198</c:v>
                </c:pt>
                <c:pt idx="10">
                  <c:v>0.26877335072146769</c:v>
                </c:pt>
                <c:pt idx="11">
                  <c:v>0.34078786393571858</c:v>
                </c:pt>
                <c:pt idx="12">
                  <c:v>0.37482214961203097</c:v>
                </c:pt>
                <c:pt idx="13">
                  <c:v>0.39664062064661504</c:v>
                </c:pt>
                <c:pt idx="14">
                  <c:v>0.40382340835071501</c:v>
                </c:pt>
                <c:pt idx="15">
                  <c:v>0.40701017646421156</c:v>
                </c:pt>
                <c:pt idx="16">
                  <c:v>0.41665604494734637</c:v>
                </c:pt>
                <c:pt idx="17">
                  <c:v>0.42371198748526717</c:v>
                </c:pt>
                <c:pt idx="18">
                  <c:v>0.4296650375004939</c:v>
                </c:pt>
                <c:pt idx="19">
                  <c:v>0.43597572121636069</c:v>
                </c:pt>
                <c:pt idx="20">
                  <c:v>0.44311354244115386</c:v>
                </c:pt>
                <c:pt idx="21">
                  <c:v>0.44981991130245313</c:v>
                </c:pt>
                <c:pt idx="22">
                  <c:v>0.45492892392921369</c:v>
                </c:pt>
                <c:pt idx="23">
                  <c:v>0.45708146950889483</c:v>
                </c:pt>
                <c:pt idx="24">
                  <c:v>0.44241782841059835</c:v>
                </c:pt>
                <c:pt idx="25">
                  <c:v>0.39881895961030445</c:v>
                </c:pt>
                <c:pt idx="26">
                  <c:v>0.34925280353628785</c:v>
                </c:pt>
                <c:pt idx="27">
                  <c:v>0.31034257742727117</c:v>
                </c:pt>
                <c:pt idx="28">
                  <c:v>0.2843936972490485</c:v>
                </c:pt>
                <c:pt idx="29">
                  <c:v>0.26921747950844854</c:v>
                </c:pt>
                <c:pt idx="30">
                  <c:v>0.25107794685617713</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3.2084544896466534E-3</c:v>
                </c:pt>
                <c:pt idx="26">
                  <c:v>2.2206324289511973E-2</c:v>
                </c:pt>
                <c:pt idx="27">
                  <c:v>4.9820429617601095E-2</c:v>
                </c:pt>
                <c:pt idx="28">
                  <c:v>7.0351281248529463E-2</c:v>
                </c:pt>
                <c:pt idx="29">
                  <c:v>8.5392584796151652E-2</c:v>
                </c:pt>
                <c:pt idx="30">
                  <c:v>0.10412525928570945</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1.8216543184403909E-5</c:v>
                </c:pt>
                <c:pt idx="23">
                  <c:v>3.2869833974962801E-3</c:v>
                </c:pt>
                <c:pt idx="24">
                  <c:v>2.9776147823880592E-2</c:v>
                </c:pt>
                <c:pt idx="25">
                  <c:v>8.9571205758025435E-2</c:v>
                </c:pt>
                <c:pt idx="26">
                  <c:v>0.13405802268398639</c:v>
                </c:pt>
                <c:pt idx="27">
                  <c:v>0.16174175304840738</c:v>
                </c:pt>
                <c:pt idx="28">
                  <c:v>0.1796926965373587</c:v>
                </c:pt>
                <c:pt idx="29">
                  <c:v>0.18897778706260113</c:v>
                </c:pt>
                <c:pt idx="30">
                  <c:v>0.19662241617838311</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PHEV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4.8145109192006313E-6</c:v>
                </c:pt>
                <c:pt idx="23">
                  <c:v>7.7732152970857961E-4</c:v>
                </c:pt>
                <c:pt idx="24">
                  <c:v>7.7895004554060458E-3</c:v>
                </c:pt>
                <c:pt idx="25">
                  <c:v>3.7607918431783231E-2</c:v>
                </c:pt>
                <c:pt idx="26">
                  <c:v>7.2750285319815908E-2</c:v>
                </c:pt>
                <c:pt idx="27">
                  <c:v>9.8742662907126494E-2</c:v>
                </c:pt>
                <c:pt idx="28">
                  <c:v>0.11373104589635001</c:v>
                </c:pt>
                <c:pt idx="29">
                  <c:v>0.12011842585032124</c:v>
                </c:pt>
                <c:pt idx="30">
                  <c:v>0.13058022495181762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5.0707645185847491E-3</c:v>
                </c:pt>
                <c:pt idx="7">
                  <c:v>5.3254874832491536E-4</c:v>
                </c:pt>
                <c:pt idx="8">
                  <c:v>1.8868602339595801E-2</c:v>
                </c:pt>
                <c:pt idx="9">
                  <c:v>3.3386550208248777E-3</c:v>
                </c:pt>
                <c:pt idx="10">
                  <c:v>1.079008828809714E-3</c:v>
                </c:pt>
                <c:pt idx="11">
                  <c:v>1.3656218381800371E-3</c:v>
                </c:pt>
                <c:pt idx="12">
                  <c:v>1.8374373165324181E-2</c:v>
                </c:pt>
                <c:pt idx="13">
                  <c:v>3.6000705252692125E-2</c:v>
                </c:pt>
                <c:pt idx="14">
                  <c:v>4.6577756985259788E-2</c:v>
                </c:pt>
                <c:pt idx="15">
                  <c:v>6.2708679834542314E-2</c:v>
                </c:pt>
                <c:pt idx="16">
                  <c:v>0.11149741860040666</c:v>
                </c:pt>
                <c:pt idx="17">
                  <c:v>0.13260291956476611</c:v>
                </c:pt>
                <c:pt idx="18">
                  <c:v>0.15813435257968939</c:v>
                </c:pt>
                <c:pt idx="19">
                  <c:v>0.18901870416975508</c:v>
                </c:pt>
                <c:pt idx="20">
                  <c:v>0.21711093575159807</c:v>
                </c:pt>
                <c:pt idx="21">
                  <c:v>0.25125134900558671</c:v>
                </c:pt>
                <c:pt idx="22">
                  <c:v>0.29185663859339478</c:v>
                </c:pt>
                <c:pt idx="23">
                  <c:v>0.33214190827507561</c:v>
                </c:pt>
                <c:pt idx="24">
                  <c:v>0.36209040721287633</c:v>
                </c:pt>
                <c:pt idx="25">
                  <c:v>0.37526068135569468</c:v>
                </c:pt>
                <c:pt idx="26">
                  <c:v>0.3694421538109196</c:v>
                </c:pt>
                <c:pt idx="27">
                  <c:v>0.35865008582517777</c:v>
                </c:pt>
                <c:pt idx="28">
                  <c:v>0.34994891673290585</c:v>
                </c:pt>
                <c:pt idx="29">
                  <c:v>0.33973201981438844</c:v>
                </c:pt>
                <c:pt idx="30">
                  <c:v>0.31853882411113321</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1.0623185471732265E-2</c:v>
                </c:pt>
                <c:pt idx="7">
                  <c:v>3.8968018535340203E-2</c:v>
                </c:pt>
                <c:pt idx="8">
                  <c:v>7.4654404206173114E-2</c:v>
                </c:pt>
                <c:pt idx="9">
                  <c:v>0.16225431150928413</c:v>
                </c:pt>
                <c:pt idx="10">
                  <c:v>0.24092667643611032</c:v>
                </c:pt>
                <c:pt idx="11">
                  <c:v>0.27934606083519087</c:v>
                </c:pt>
                <c:pt idx="12">
                  <c:v>0.31073467827301815</c:v>
                </c:pt>
                <c:pt idx="13">
                  <c:v>0.31854857872438525</c:v>
                </c:pt>
                <c:pt idx="14">
                  <c:v>0.32810328856842685</c:v>
                </c:pt>
                <c:pt idx="15">
                  <c:v>0.32824547213434507</c:v>
                </c:pt>
                <c:pt idx="16">
                  <c:v>0.33667606471794442</c:v>
                </c:pt>
                <c:pt idx="17">
                  <c:v>0.33925848040270029</c:v>
                </c:pt>
                <c:pt idx="18">
                  <c:v>0.34884909709583384</c:v>
                </c:pt>
                <c:pt idx="19">
                  <c:v>0.37738118750079991</c:v>
                </c:pt>
                <c:pt idx="20">
                  <c:v>0.41447494792158335</c:v>
                </c:pt>
                <c:pt idx="21">
                  <c:v>0.46699348022878073</c:v>
                </c:pt>
                <c:pt idx="22">
                  <c:v>0.51949853602222706</c:v>
                </c:pt>
                <c:pt idx="23">
                  <c:v>0.54953936388383884</c:v>
                </c:pt>
                <c:pt idx="24">
                  <c:v>0.55940547196233081</c:v>
                </c:pt>
                <c:pt idx="25">
                  <c:v>0.53934787263091499</c:v>
                </c:pt>
                <c:pt idx="26">
                  <c:v>0.51111231505749721</c:v>
                </c:pt>
                <c:pt idx="27">
                  <c:v>0.47350239648773446</c:v>
                </c:pt>
                <c:pt idx="28">
                  <c:v>0.44630120422582492</c:v>
                </c:pt>
                <c:pt idx="29">
                  <c:v>0.43016250610137224</c:v>
                </c:pt>
                <c:pt idx="30">
                  <c:v>0.38527119696502965</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1.3216786198963876E-5</c:v>
                </c:pt>
                <c:pt idx="24">
                  <c:v>6.7679409095457394E-4</c:v>
                </c:pt>
                <c:pt idx="25">
                  <c:v>4.879466205728311E-3</c:v>
                </c:pt>
                <c:pt idx="26">
                  <c:v>1.5585811852700695E-2</c:v>
                </c:pt>
                <c:pt idx="27">
                  <c:v>3.5208951837046018E-2</c:v>
                </c:pt>
                <c:pt idx="28">
                  <c:v>5.2479253492103507E-2</c:v>
                </c:pt>
                <c:pt idx="29">
                  <c:v>6.752133042797151E-2</c:v>
                </c:pt>
                <c:pt idx="30">
                  <c:v>0.11132032561028905</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0</c:v>
                </c:pt>
                <c:pt idx="9">
                  <c:v>0</c:v>
                </c:pt>
                <c:pt idx="10">
                  <c:v>0</c:v>
                </c:pt>
                <c:pt idx="11">
                  <c:v>3.2741952551342375E-8</c:v>
                </c:pt>
                <c:pt idx="12">
                  <c:v>6.6388566871245445E-7</c:v>
                </c:pt>
                <c:pt idx="13">
                  <c:v>1.083939623396085E-5</c:v>
                </c:pt>
                <c:pt idx="14">
                  <c:v>3.9744515565905598E-5</c:v>
                </c:pt>
                <c:pt idx="15">
                  <c:v>1.2259593696836748E-4</c:v>
                </c:pt>
                <c:pt idx="16">
                  <c:v>3.6054386441368419E-4</c:v>
                </c:pt>
                <c:pt idx="17">
                  <c:v>5.7949489601119889E-4</c:v>
                </c:pt>
                <c:pt idx="18">
                  <c:v>9.6048182129094498E-4</c:v>
                </c:pt>
                <c:pt idx="19">
                  <c:v>1.5319557225705654E-3</c:v>
                </c:pt>
                <c:pt idx="20">
                  <c:v>2.4859633885679659E-3</c:v>
                </c:pt>
                <c:pt idx="21">
                  <c:v>4.31554632361714E-3</c:v>
                </c:pt>
                <c:pt idx="22">
                  <c:v>7.6826159326073657E-3</c:v>
                </c:pt>
                <c:pt idx="23">
                  <c:v>1.2721592760867737E-2</c:v>
                </c:pt>
                <c:pt idx="24">
                  <c:v>2.0498767676597175E-2</c:v>
                </c:pt>
                <c:pt idx="25">
                  <c:v>3.2993192187563747E-2</c:v>
                </c:pt>
                <c:pt idx="26">
                  <c:v>4.7379698924516128E-2</c:v>
                </c:pt>
                <c:pt idx="27">
                  <c:v>6.2297508763172568E-2</c:v>
                </c:pt>
                <c:pt idx="28">
                  <c:v>7.3706619465516487E-2</c:v>
                </c:pt>
                <c:pt idx="29">
                  <c:v>8.1373106260021172E-2</c:v>
                </c:pt>
                <c:pt idx="30">
                  <c:v>9.5307090683643514E-2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PHEV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1.6218688076135895E-8</c:v>
                </c:pt>
                <c:pt idx="7">
                  <c:v>3.2422953815188005E-7</c:v>
                </c:pt>
                <c:pt idx="8">
                  <c:v>2.0925341735075888E-6</c:v>
                </c:pt>
                <c:pt idx="9">
                  <c:v>6.975944059657197E-6</c:v>
                </c:pt>
                <c:pt idx="10">
                  <c:v>3.0113506776833806E-5</c:v>
                </c:pt>
                <c:pt idx="11">
                  <c:v>7.95097203847932E-5</c:v>
                </c:pt>
                <c:pt idx="12">
                  <c:v>1.4071234742125038E-4</c:v>
                </c:pt>
                <c:pt idx="13">
                  <c:v>2.5793637777061693E-4</c:v>
                </c:pt>
                <c:pt idx="14">
                  <c:v>3.9705856085537749E-4</c:v>
                </c:pt>
                <c:pt idx="15">
                  <c:v>6.9581967242726163E-4</c:v>
                </c:pt>
                <c:pt idx="16">
                  <c:v>9.6332658491845148E-4</c:v>
                </c:pt>
                <c:pt idx="17">
                  <c:v>1.1316301284821206E-3</c:v>
                </c:pt>
                <c:pt idx="18">
                  <c:v>1.3625172737517222E-3</c:v>
                </c:pt>
                <c:pt idx="19">
                  <c:v>1.8109521629647387E-3</c:v>
                </c:pt>
                <c:pt idx="20">
                  <c:v>2.510535606891347E-3</c:v>
                </c:pt>
                <c:pt idx="21">
                  <c:v>3.9449506576196168E-3</c:v>
                </c:pt>
                <c:pt idx="22">
                  <c:v>6.7304624776293141E-3</c:v>
                </c:pt>
                <c:pt idx="23">
                  <c:v>1.1910021728145384E-2</c:v>
                </c:pt>
                <c:pt idx="24">
                  <c:v>2.1336742831133102E-2</c:v>
                </c:pt>
                <c:pt idx="25">
                  <c:v>3.8530469939000299E-2</c:v>
                </c:pt>
                <c:pt idx="26">
                  <c:v>5.6127356829840068E-2</c:v>
                </c:pt>
                <c:pt idx="27">
                  <c:v>7.0188938496558897E-2</c:v>
                </c:pt>
                <c:pt idx="28">
                  <c:v>7.7507904776308437E-2</c:v>
                </c:pt>
                <c:pt idx="29">
                  <c:v>8.1195266145084544E-2</c:v>
                </c:pt>
                <c:pt idx="30">
                  <c:v>8.954760068448156E-2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1.0357391083421052E-2</c:v>
                </c:pt>
                <c:pt idx="7">
                  <c:v>1.6503542430612375E-2</c:v>
                </c:pt>
                <c:pt idx="8">
                  <c:v>4.9043004925429533E-2</c:v>
                </c:pt>
                <c:pt idx="9">
                  <c:v>0.10379496315266015</c:v>
                </c:pt>
                <c:pt idx="10">
                  <c:v>0.17415292723055684</c:v>
                </c:pt>
                <c:pt idx="11">
                  <c:v>0.2319210247659575</c:v>
                </c:pt>
                <c:pt idx="12">
                  <c:v>0.26435981051199148</c:v>
                </c:pt>
                <c:pt idx="13">
                  <c:v>0.28288686012409014</c:v>
                </c:pt>
                <c:pt idx="14">
                  <c:v>0.28804051701474354</c:v>
                </c:pt>
                <c:pt idx="15">
                  <c:v>0.29500676770639145</c:v>
                </c:pt>
                <c:pt idx="16">
                  <c:v>0.296171774212587</c:v>
                </c:pt>
                <c:pt idx="17">
                  <c:v>0.2979854314539091</c:v>
                </c:pt>
                <c:pt idx="18">
                  <c:v>0.29941747306702671</c:v>
                </c:pt>
                <c:pt idx="19">
                  <c:v>0.30351492457901486</c:v>
                </c:pt>
                <c:pt idx="20">
                  <c:v>0.30161580673400956</c:v>
                </c:pt>
                <c:pt idx="21">
                  <c:v>0.29911835264283099</c:v>
                </c:pt>
                <c:pt idx="22">
                  <c:v>0.2923638855463695</c:v>
                </c:pt>
                <c:pt idx="23">
                  <c:v>0.27480195483448566</c:v>
                </c:pt>
                <c:pt idx="24">
                  <c:v>0.24943376342797641</c:v>
                </c:pt>
                <c:pt idx="25">
                  <c:v>0.22143166884512228</c:v>
                </c:pt>
                <c:pt idx="26">
                  <c:v>0.19806182709195991</c:v>
                </c:pt>
                <c:pt idx="27">
                  <c:v>0.18111935705476656</c:v>
                </c:pt>
                <c:pt idx="28">
                  <c:v>0.17122590493911358</c:v>
                </c:pt>
                <c:pt idx="29">
                  <c:v>0.16634531141418757</c:v>
                </c:pt>
                <c:pt idx="30">
                  <c:v>0.15943738440817562</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6.4447566820878075E-3</c:v>
                </c:pt>
                <c:pt idx="7">
                  <c:v>1.2092674038839783E-2</c:v>
                </c:pt>
                <c:pt idx="8">
                  <c:v>3.5500675597798945E-2</c:v>
                </c:pt>
                <c:pt idx="9">
                  <c:v>7.5663471451830028E-2</c:v>
                </c:pt>
                <c:pt idx="10">
                  <c:v>0.13070348152216277</c:v>
                </c:pt>
                <c:pt idx="11">
                  <c:v>0.17768394294933681</c:v>
                </c:pt>
                <c:pt idx="12">
                  <c:v>0.20416057141666893</c:v>
                </c:pt>
                <c:pt idx="13">
                  <c:v>0.22034524416677198</c:v>
                </c:pt>
                <c:pt idx="14">
                  <c:v>0.2268367953738708</c:v>
                </c:pt>
                <c:pt idx="15">
                  <c:v>0.23476351483076269</c:v>
                </c:pt>
                <c:pt idx="16">
                  <c:v>0.24053588132167791</c:v>
                </c:pt>
                <c:pt idx="17">
                  <c:v>0.24378365312244754</c:v>
                </c:pt>
                <c:pt idx="18">
                  <c:v>0.25032628248714967</c:v>
                </c:pt>
                <c:pt idx="19">
                  <c:v>0.25671435773811735</c:v>
                </c:pt>
                <c:pt idx="20">
                  <c:v>0.26277805717247038</c:v>
                </c:pt>
                <c:pt idx="21">
                  <c:v>0.26772623707330873</c:v>
                </c:pt>
                <c:pt idx="22">
                  <c:v>0.26822383076601564</c:v>
                </c:pt>
                <c:pt idx="23">
                  <c:v>0.25616409225867448</c:v>
                </c:pt>
                <c:pt idx="24">
                  <c:v>0.23604931511665384</c:v>
                </c:pt>
                <c:pt idx="25">
                  <c:v>0.21249075078742688</c:v>
                </c:pt>
                <c:pt idx="26">
                  <c:v>0.19298199309052858</c:v>
                </c:pt>
                <c:pt idx="27">
                  <c:v>0.17727632116418379</c:v>
                </c:pt>
                <c:pt idx="28">
                  <c:v>0.16827928711776771</c:v>
                </c:pt>
                <c:pt idx="29">
                  <c:v>0.16455656903741786</c:v>
                </c:pt>
                <c:pt idx="30">
                  <c:v>0.15771344319888767</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6.6162574567056533E-4</c:v>
                </c:pt>
                <c:pt idx="25">
                  <c:v>7.7955230232864565E-3</c:v>
                </c:pt>
                <c:pt idx="26">
                  <c:v>2.0150128621245801E-2</c:v>
                </c:pt>
                <c:pt idx="27">
                  <c:v>3.1899176747119173E-2</c:v>
                </c:pt>
                <c:pt idx="28">
                  <c:v>4.0182225168567419E-2</c:v>
                </c:pt>
                <c:pt idx="29">
                  <c:v>4.56923247372839E-2</c:v>
                </c:pt>
                <c:pt idx="30">
                  <c:v>5.4283410462712851E-2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1.3494705178263612E-5</c:v>
                </c:pt>
                <c:pt idx="20">
                  <c:v>2.7982878155246422E-4</c:v>
                </c:pt>
                <c:pt idx="21">
                  <c:v>2.6051365850849255E-3</c:v>
                </c:pt>
                <c:pt idx="22">
                  <c:v>1.2724340345137922E-2</c:v>
                </c:pt>
                <c:pt idx="23">
                  <c:v>3.1464958837166809E-2</c:v>
                </c:pt>
                <c:pt idx="24">
                  <c:v>5.5582417336209125E-2</c:v>
                </c:pt>
                <c:pt idx="25">
                  <c:v>8.0025204806466396E-2</c:v>
                </c:pt>
                <c:pt idx="26">
                  <c:v>9.3918340718712773E-2</c:v>
                </c:pt>
                <c:pt idx="27">
                  <c:v>0.10579611994192124</c:v>
                </c:pt>
                <c:pt idx="28">
                  <c:v>0.11320536474966983</c:v>
                </c:pt>
                <c:pt idx="29">
                  <c:v>0.11867632597416006</c:v>
                </c:pt>
                <c:pt idx="30">
                  <c:v>0.12501042921470107</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PHEV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2.692176787852537E-6</c:v>
                </c:pt>
                <c:pt idx="13">
                  <c:v>1.7362512070626594E-5</c:v>
                </c:pt>
                <c:pt idx="14">
                  <c:v>3.6689253153067072E-5</c:v>
                </c:pt>
                <c:pt idx="15">
                  <c:v>7.9439824647441041E-5</c:v>
                </c:pt>
                <c:pt idx="16">
                  <c:v>1.8751620060027528E-4</c:v>
                </c:pt>
                <c:pt idx="17">
                  <c:v>3.0413678073519545E-4</c:v>
                </c:pt>
                <c:pt idx="18">
                  <c:v>5.3236587435535041E-4</c:v>
                </c:pt>
                <c:pt idx="19">
                  <c:v>1.1063068188300682E-3</c:v>
                </c:pt>
                <c:pt idx="20">
                  <c:v>2.4531915486312476E-3</c:v>
                </c:pt>
                <c:pt idx="21">
                  <c:v>6.1159534989110786E-3</c:v>
                </c:pt>
                <c:pt idx="22">
                  <c:v>1.5123013544457727E-2</c:v>
                </c:pt>
                <c:pt idx="23">
                  <c:v>3.252460371660619E-2</c:v>
                </c:pt>
                <c:pt idx="24">
                  <c:v>5.891526161369328E-2</c:v>
                </c:pt>
                <c:pt idx="25">
                  <c:v>8.4805881887289575E-2</c:v>
                </c:pt>
                <c:pt idx="26">
                  <c:v>0.10229175015083941</c:v>
                </c:pt>
                <c:pt idx="27">
                  <c:v>0.11401065005091036</c:v>
                </c:pt>
                <c:pt idx="28">
                  <c:v>0.12042652068446447</c:v>
                </c:pt>
                <c:pt idx="29">
                  <c:v>0.12433878508498553</c:v>
                </c:pt>
                <c:pt idx="30">
                  <c:v>0.12929429029960551</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Class 7&amp;8 Sleeper Tractors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Veh-Mi'!$C$22:$C$52</c:f>
              <c:numCache>
                <c:formatCode>0.0%</c:formatCode>
                <c:ptCount val="31"/>
                <c:pt idx="0">
                  <c:v>0</c:v>
                </c:pt>
                <c:pt idx="1">
                  <c:v>0</c:v>
                </c:pt>
                <c:pt idx="2">
                  <c:v>0</c:v>
                </c:pt>
                <c:pt idx="3">
                  <c:v>0</c:v>
                </c:pt>
                <c:pt idx="4">
                  <c:v>0</c:v>
                </c:pt>
                <c:pt idx="5">
                  <c:v>0</c:v>
                </c:pt>
                <c:pt idx="6">
                  <c:v>1.793206162966654E-2</c:v>
                </c:pt>
                <c:pt idx="7">
                  <c:v>2.5754427405361949E-2</c:v>
                </c:pt>
                <c:pt idx="8">
                  <c:v>0.13141309140127733</c:v>
                </c:pt>
                <c:pt idx="9">
                  <c:v>0.25575280864603456</c:v>
                </c:pt>
                <c:pt idx="10">
                  <c:v>0.3851864262273838</c:v>
                </c:pt>
                <c:pt idx="11">
                  <c:v>0.46551188598271936</c:v>
                </c:pt>
                <c:pt idx="12">
                  <c:v>0.50769865515775536</c:v>
                </c:pt>
                <c:pt idx="13">
                  <c:v>0.51879416152456992</c:v>
                </c:pt>
                <c:pt idx="14">
                  <c:v>0.524195538682935</c:v>
                </c:pt>
                <c:pt idx="15">
                  <c:v>0.52737292943682135</c:v>
                </c:pt>
                <c:pt idx="16">
                  <c:v>0.52364709193771863</c:v>
                </c:pt>
                <c:pt idx="17">
                  <c:v>0.51775105738257854</c:v>
                </c:pt>
                <c:pt idx="18">
                  <c:v>0.51295855338010377</c:v>
                </c:pt>
                <c:pt idx="19">
                  <c:v>0.51065437773268485</c:v>
                </c:pt>
                <c:pt idx="20">
                  <c:v>0.50535305709803091</c:v>
                </c:pt>
                <c:pt idx="21">
                  <c:v>0.50156432580184851</c:v>
                </c:pt>
                <c:pt idx="22">
                  <c:v>0.497747310894392</c:v>
                </c:pt>
                <c:pt idx="23">
                  <c:v>0.49041486203821527</c:v>
                </c:pt>
                <c:pt idx="24">
                  <c:v>0.46567860271000716</c:v>
                </c:pt>
                <c:pt idx="25">
                  <c:v>0.4119567755442699</c:v>
                </c:pt>
                <c:pt idx="26">
                  <c:v>0.35743185980404829</c:v>
                </c:pt>
                <c:pt idx="27">
                  <c:v>0.31742961807931613</c:v>
                </c:pt>
                <c:pt idx="28">
                  <c:v>0.29173425202643172</c:v>
                </c:pt>
                <c:pt idx="29">
                  <c:v>0.2771162224919731</c:v>
                </c:pt>
                <c:pt idx="30">
                  <c:v>0.26000222265982947</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Veh-Mi'!$D$22:$D$52</c:f>
              <c:numCache>
                <c:formatCode>0.0%</c:formatCode>
                <c:ptCount val="31"/>
                <c:pt idx="0">
                  <c:v>0</c:v>
                </c:pt>
                <c:pt idx="1">
                  <c:v>0</c:v>
                </c:pt>
                <c:pt idx="2">
                  <c:v>0</c:v>
                </c:pt>
                <c:pt idx="3">
                  <c:v>0</c:v>
                </c:pt>
                <c:pt idx="4">
                  <c:v>0</c:v>
                </c:pt>
                <c:pt idx="5">
                  <c:v>0</c:v>
                </c:pt>
                <c:pt idx="6">
                  <c:v>1.2736978712683356E-2</c:v>
                </c:pt>
                <c:pt idx="7">
                  <c:v>2.7646076108933264E-2</c:v>
                </c:pt>
                <c:pt idx="8">
                  <c:v>9.4173672676412093E-2</c:v>
                </c:pt>
                <c:pt idx="9">
                  <c:v>0.1854488863794263</c:v>
                </c:pt>
                <c:pt idx="10">
                  <c:v>0.2955495259376783</c:v>
                </c:pt>
                <c:pt idx="11">
                  <c:v>0.37165948870810772</c:v>
                </c:pt>
                <c:pt idx="12">
                  <c:v>0.40750421669828474</c:v>
                </c:pt>
                <c:pt idx="13">
                  <c:v>0.42897242149309101</c:v>
                </c:pt>
                <c:pt idx="14">
                  <c:v>0.43602288623577867</c:v>
                </c:pt>
                <c:pt idx="15">
                  <c:v>0.43942718682716919</c:v>
                </c:pt>
                <c:pt idx="16">
                  <c:v>0.4477627822589475</c:v>
                </c:pt>
                <c:pt idx="17">
                  <c:v>0.45414585357347786</c:v>
                </c:pt>
                <c:pt idx="18">
                  <c:v>0.4590496656628133</c:v>
                </c:pt>
                <c:pt idx="19">
                  <c:v>0.46410884749831216</c:v>
                </c:pt>
                <c:pt idx="20">
                  <c:v>0.46968732093926341</c:v>
                </c:pt>
                <c:pt idx="21">
                  <c:v>0.4749642871355062</c:v>
                </c:pt>
                <c:pt idx="22">
                  <c:v>0.47831507492309172</c:v>
                </c:pt>
                <c:pt idx="23">
                  <c:v>0.47772290266635264</c:v>
                </c:pt>
                <c:pt idx="24">
                  <c:v>0.45585622418094141</c:v>
                </c:pt>
                <c:pt idx="25">
                  <c:v>0.40435445929063829</c:v>
                </c:pt>
                <c:pt idx="26">
                  <c:v>0.35197696685772334</c:v>
                </c:pt>
                <c:pt idx="27">
                  <c:v>0.31269011220676346</c:v>
                </c:pt>
                <c:pt idx="28">
                  <c:v>0.28772388880362959</c:v>
                </c:pt>
                <c:pt idx="29">
                  <c:v>0.27349634873972861</c:v>
                </c:pt>
                <c:pt idx="30">
                  <c:v>0.25679352423974022</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3.4788007997278063E-3</c:v>
                </c:pt>
                <c:pt idx="26">
                  <c:v>2.3300017861835547E-2</c:v>
                </c:pt>
                <c:pt idx="27">
                  <c:v>5.0777699583335417E-2</c:v>
                </c:pt>
                <c:pt idx="28">
                  <c:v>7.0361311691701789E-2</c:v>
                </c:pt>
                <c:pt idx="29">
                  <c:v>8.447223610967608E-2</c:v>
                </c:pt>
                <c:pt idx="30">
                  <c:v>0.10137675079996503</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3.5709658016333634E-5</c:v>
                </c:pt>
                <c:pt idx="23">
                  <c:v>5.7759461561406366E-3</c:v>
                </c:pt>
                <c:pt idx="24">
                  <c:v>4.1139579757607958E-2</c:v>
                </c:pt>
                <c:pt idx="25">
                  <c:v>0.10922122606915248</c:v>
                </c:pt>
                <c:pt idx="26">
                  <c:v>0.15526490402896814</c:v>
                </c:pt>
                <c:pt idx="27">
                  <c:v>0.18184561070190111</c:v>
                </c:pt>
                <c:pt idx="28">
                  <c:v>0.19800156848283693</c:v>
                </c:pt>
                <c:pt idx="29">
                  <c:v>0.2062498903290523</c:v>
                </c:pt>
                <c:pt idx="30">
                  <c:v>0.21214425884279592</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PHEV</c:v>
                </c:pt>
              </c:strCache>
            </c:strRef>
          </c:tx>
          <c:spPr>
            <a:solidFill>
              <a:schemeClr val="accent5">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9.5688366780717217E-6</c:v>
                </c:pt>
                <c:pt idx="23">
                  <c:v>1.4921448866720363E-3</c:v>
                </c:pt>
                <c:pt idx="24">
                  <c:v>1.2152159355768714E-2</c:v>
                </c:pt>
                <c:pt idx="25">
                  <c:v>4.7766780462054764E-2</c:v>
                </c:pt>
                <c:pt idx="26">
                  <c:v>8.6014763713759948E-2</c:v>
                </c:pt>
                <c:pt idx="27">
                  <c:v>0.11307892684336036</c:v>
                </c:pt>
                <c:pt idx="28">
                  <c:v>0.12825510467499859</c:v>
                </c:pt>
                <c:pt idx="29">
                  <c:v>0.1345569831319256</c:v>
                </c:pt>
                <c:pt idx="30">
                  <c:v>0.14526640607321947</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tickLblSkip val="5"/>
        <c:tickMarkSkip val="5"/>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Class 7&amp;8 Daycab Tractors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Veh-Mi'!$I$22:$I$52</c:f>
              <c:numCache>
                <c:formatCode>0.0%</c:formatCode>
                <c:ptCount val="31"/>
                <c:pt idx="0">
                  <c:v>0</c:v>
                </c:pt>
                <c:pt idx="1">
                  <c:v>0</c:v>
                </c:pt>
                <c:pt idx="2">
                  <c:v>0</c:v>
                </c:pt>
                <c:pt idx="3">
                  <c:v>0</c:v>
                </c:pt>
                <c:pt idx="4">
                  <c:v>0</c:v>
                </c:pt>
                <c:pt idx="5">
                  <c:v>0</c:v>
                </c:pt>
                <c:pt idx="6">
                  <c:v>1.4799869203217669E-2</c:v>
                </c:pt>
                <c:pt idx="7">
                  <c:v>2.5873919978116375E-2</c:v>
                </c:pt>
                <c:pt idx="8">
                  <c:v>7.2476888597137523E-2</c:v>
                </c:pt>
                <c:pt idx="9">
                  <c:v>0.14891590305108215</c:v>
                </c:pt>
                <c:pt idx="10">
                  <c:v>0.24177588844736353</c:v>
                </c:pt>
                <c:pt idx="11">
                  <c:v>0.3133143221531674</c:v>
                </c:pt>
                <c:pt idx="12">
                  <c:v>0.35234014090199983</c:v>
                </c:pt>
                <c:pt idx="13">
                  <c:v>0.3719083280197133</c:v>
                </c:pt>
                <c:pt idx="14">
                  <c:v>0.37740380666229467</c:v>
                </c:pt>
                <c:pt idx="15">
                  <c:v>0.38502828322682608</c:v>
                </c:pt>
                <c:pt idx="16">
                  <c:v>0.38480386094342556</c:v>
                </c:pt>
                <c:pt idx="17">
                  <c:v>0.38589821503329869</c:v>
                </c:pt>
                <c:pt idx="18">
                  <c:v>0.3873402901640251</c:v>
                </c:pt>
                <c:pt idx="19">
                  <c:v>0.38980374599938122</c:v>
                </c:pt>
                <c:pt idx="20">
                  <c:v>0.38618075378775368</c:v>
                </c:pt>
                <c:pt idx="21">
                  <c:v>0.37954436740917685</c:v>
                </c:pt>
                <c:pt idx="22">
                  <c:v>0.36408172288815721</c:v>
                </c:pt>
                <c:pt idx="23">
                  <c:v>0.33420781339779754</c:v>
                </c:pt>
                <c:pt idx="24">
                  <c:v>0.29954018940478006</c:v>
                </c:pt>
                <c:pt idx="25">
                  <c:v>0.26612274546414877</c:v>
                </c:pt>
                <c:pt idx="26">
                  <c:v>0.24206662697571102</c:v>
                </c:pt>
                <c:pt idx="27">
                  <c:v>0.22496042122445781</c:v>
                </c:pt>
                <c:pt idx="28">
                  <c:v>0.21580510208742038</c:v>
                </c:pt>
                <c:pt idx="29">
                  <c:v>0.21129351104781655</c:v>
                </c:pt>
                <c:pt idx="30">
                  <c:v>0.2042267832873314</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Veh-Mi'!$J$22:$J$52</c:f>
              <c:numCache>
                <c:formatCode>0.0%</c:formatCode>
                <c:ptCount val="31"/>
                <c:pt idx="0">
                  <c:v>0</c:v>
                </c:pt>
                <c:pt idx="1">
                  <c:v>0</c:v>
                </c:pt>
                <c:pt idx="2">
                  <c:v>0</c:v>
                </c:pt>
                <c:pt idx="3">
                  <c:v>0</c:v>
                </c:pt>
                <c:pt idx="4">
                  <c:v>0</c:v>
                </c:pt>
                <c:pt idx="5">
                  <c:v>0</c:v>
                </c:pt>
                <c:pt idx="6">
                  <c:v>1.0115038493519052E-2</c:v>
                </c:pt>
                <c:pt idx="7">
                  <c:v>1.9987013532030661E-2</c:v>
                </c:pt>
                <c:pt idx="8">
                  <c:v>5.5783412006390892E-2</c:v>
                </c:pt>
                <c:pt idx="9">
                  <c:v>0.11563393297325869</c:v>
                </c:pt>
                <c:pt idx="10">
                  <c:v>0.19252411876590414</c:v>
                </c:pt>
                <c:pt idx="11">
                  <c:v>0.25458682447993175</c:v>
                </c:pt>
                <c:pt idx="12">
                  <c:v>0.2880964719089244</c:v>
                </c:pt>
                <c:pt idx="13">
                  <c:v>0.30718867205963984</c:v>
                </c:pt>
                <c:pt idx="14">
                  <c:v>0.3146964878523395</c:v>
                </c:pt>
                <c:pt idx="15">
                  <c:v>0.32345026431773116</c:v>
                </c:pt>
                <c:pt idx="16">
                  <c:v>0.32929703983836145</c:v>
                </c:pt>
                <c:pt idx="17">
                  <c:v>0.33202508526306296</c:v>
                </c:pt>
                <c:pt idx="18">
                  <c:v>0.33845441724776171</c:v>
                </c:pt>
                <c:pt idx="19">
                  <c:v>0.34378527485121502</c:v>
                </c:pt>
                <c:pt idx="20">
                  <c:v>0.34815337589188122</c:v>
                </c:pt>
                <c:pt idx="21">
                  <c:v>0.34874744285880754</c:v>
                </c:pt>
                <c:pt idx="22">
                  <c:v>0.33975296743594186</c:v>
                </c:pt>
                <c:pt idx="23">
                  <c:v>0.31595900696392176</c:v>
                </c:pt>
                <c:pt idx="24">
                  <c:v>0.28610811195539576</c:v>
                </c:pt>
                <c:pt idx="25">
                  <c:v>0.25671840374479843</c:v>
                </c:pt>
                <c:pt idx="26">
                  <c:v>0.23582715141557994</c:v>
                </c:pt>
                <c:pt idx="27">
                  <c:v>0.22006281486833193</c:v>
                </c:pt>
                <c:pt idx="28">
                  <c:v>0.21159699485908096</c:v>
                </c:pt>
                <c:pt idx="29">
                  <c:v>0.20791329272088799</c:v>
                </c:pt>
                <c:pt idx="30">
                  <c:v>0.20096346431178458</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6.1083503673612066E-4</c:v>
                </c:pt>
                <c:pt idx="25">
                  <c:v>6.9273222644462649E-3</c:v>
                </c:pt>
                <c:pt idx="26">
                  <c:v>1.7026674640195631E-2</c:v>
                </c:pt>
                <c:pt idx="27">
                  <c:v>2.6020346888965692E-2</c:v>
                </c:pt>
                <c:pt idx="28">
                  <c:v>3.1890106762126641E-2</c:v>
                </c:pt>
                <c:pt idx="29">
                  <c:v>3.5628102595303253E-2</c:v>
                </c:pt>
                <c:pt idx="30">
                  <c:v>4.0687178812150136E-2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3.8233987055496797E-5</c:v>
                </c:pt>
                <c:pt idx="20">
                  <c:v>7.5905735585567288E-4</c:v>
                </c:pt>
                <c:pt idx="21">
                  <c:v>6.2619659180381719E-3</c:v>
                </c:pt>
                <c:pt idx="22">
                  <c:v>2.5648050097677896E-2</c:v>
                </c:pt>
                <c:pt idx="23">
                  <c:v>5.5676283573539154E-2</c:v>
                </c:pt>
                <c:pt idx="24">
                  <c:v>8.9009174237291405E-2</c:v>
                </c:pt>
                <c:pt idx="25">
                  <c:v>0.11956111091818039</c:v>
                </c:pt>
                <c:pt idx="26">
                  <c:v>0.13574671059857257</c:v>
                </c:pt>
                <c:pt idx="27">
                  <c:v>0.14893268790399311</c:v>
                </c:pt>
                <c:pt idx="28">
                  <c:v>0.15661049211335576</c:v>
                </c:pt>
                <c:pt idx="29">
                  <c:v>0.16225196058928842</c:v>
                </c:pt>
                <c:pt idx="30">
                  <c:v>0.16851391382838987</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PHEV</c:v>
                </c:pt>
              </c:strCache>
            </c:strRef>
          </c:tx>
          <c:spPr>
            <a:solidFill>
              <a:schemeClr val="accent5">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7.7664500220775351E-6</c:v>
                </c:pt>
                <c:pt idx="13">
                  <c:v>5.0074511783823235E-5</c:v>
                </c:pt>
                <c:pt idx="14">
                  <c:v>1.0577924894179623E-4</c:v>
                </c:pt>
                <c:pt idx="15">
                  <c:v>2.2798450391463469E-4</c:v>
                </c:pt>
                <c:pt idx="16">
                  <c:v>5.3328929818422877E-4</c:v>
                </c:pt>
                <c:pt idx="17">
                  <c:v>8.5947256525278524E-4</c:v>
                </c:pt>
                <c:pt idx="18">
                  <c:v>1.4782737023866499E-3</c:v>
                </c:pt>
                <c:pt idx="19">
                  <c:v>2.9850731790266294E-3</c:v>
                </c:pt>
                <c:pt idx="20">
                  <c:v>6.2333381311215933E-3</c:v>
                </c:pt>
                <c:pt idx="21">
                  <c:v>1.4002667699339343E-2</c:v>
                </c:pt>
                <c:pt idx="22">
                  <c:v>3.0334219713317956E-2</c:v>
                </c:pt>
                <c:pt idx="23">
                  <c:v>5.7335624683471267E-2</c:v>
                </c:pt>
                <c:pt idx="24">
                  <c:v>9.2346777017312698E-2</c:v>
                </c:pt>
                <c:pt idx="25">
                  <c:v>0.12280648856418946</c:v>
                </c:pt>
                <c:pt idx="26">
                  <c:v>0.14148162545896623</c:v>
                </c:pt>
                <c:pt idx="27">
                  <c:v>0.15383567018453739</c:v>
                </c:pt>
                <c:pt idx="28">
                  <c:v>0.16061624107210332</c:v>
                </c:pt>
                <c:pt idx="29">
                  <c:v>0.16452561992207471</c:v>
                </c:pt>
                <c:pt idx="30">
                  <c:v>0.16943065258990431</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tickLblSkip val="5"/>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Class 7&amp;8 Vocational</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Veh-Mi'!$O$22:$O$52</c:f>
              <c:numCache>
                <c:formatCode>0.0%</c:formatCode>
                <c:ptCount val="31"/>
                <c:pt idx="0">
                  <c:v>0</c:v>
                </c:pt>
                <c:pt idx="1">
                  <c:v>0</c:v>
                </c:pt>
                <c:pt idx="2">
                  <c:v>0</c:v>
                </c:pt>
                <c:pt idx="3">
                  <c:v>0</c:v>
                </c:pt>
                <c:pt idx="4">
                  <c:v>0</c:v>
                </c:pt>
                <c:pt idx="5">
                  <c:v>0</c:v>
                </c:pt>
                <c:pt idx="6">
                  <c:v>9.7271817538726775E-3</c:v>
                </c:pt>
                <c:pt idx="7">
                  <c:v>2.58750487637342E-3</c:v>
                </c:pt>
                <c:pt idx="8">
                  <c:v>4.2581959326908239E-2</c:v>
                </c:pt>
                <c:pt idx="9">
                  <c:v>1.4919014337818243E-2</c:v>
                </c:pt>
                <c:pt idx="10">
                  <c:v>5.9553501348954272E-3</c:v>
                </c:pt>
                <c:pt idx="11">
                  <c:v>7.4999252498893446E-3</c:v>
                </c:pt>
                <c:pt idx="12">
                  <c:v>6.243773076023991E-2</c:v>
                </c:pt>
                <c:pt idx="13">
                  <c:v>0.10197317070579609</c:v>
                </c:pt>
                <c:pt idx="14">
                  <c:v>0.1214693224605613</c:v>
                </c:pt>
                <c:pt idx="15">
                  <c:v>0.14624763593042156</c:v>
                </c:pt>
                <c:pt idx="16">
                  <c:v>0.20860086639304937</c:v>
                </c:pt>
                <c:pt idx="17">
                  <c:v>0.23335851926104112</c:v>
                </c:pt>
                <c:pt idx="18">
                  <c:v>0.26268262556296768</c:v>
                </c:pt>
                <c:pt idx="19">
                  <c:v>0.29618098143228305</c:v>
                </c:pt>
                <c:pt idx="20">
                  <c:v>0.32455031962230813</c:v>
                </c:pt>
                <c:pt idx="21">
                  <c:v>0.35085195356183674</c:v>
                </c:pt>
                <c:pt idx="22">
                  <c:v>0.37200575476014841</c:v>
                </c:pt>
                <c:pt idx="23">
                  <c:v>0.38621573618853533</c:v>
                </c:pt>
                <c:pt idx="24">
                  <c:v>0.39015565570308064</c:v>
                </c:pt>
                <c:pt idx="25">
                  <c:v>0.37978543126293884</c:v>
                </c:pt>
                <c:pt idx="26">
                  <c:v>0.36007778280221364</c:v>
                </c:pt>
                <c:pt idx="27">
                  <c:v>0.33743895172257887</c:v>
                </c:pt>
                <c:pt idx="28">
                  <c:v>0.32027583494602962</c:v>
                </c:pt>
                <c:pt idx="29">
                  <c:v>0.30706094503337122</c:v>
                </c:pt>
                <c:pt idx="30">
                  <c:v>0.28132446931552102</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Veh-Mi'!$P$22:$P$52</c:f>
              <c:numCache>
                <c:formatCode>0.0%</c:formatCode>
                <c:ptCount val="31"/>
                <c:pt idx="0">
                  <c:v>0</c:v>
                </c:pt>
                <c:pt idx="1">
                  <c:v>0</c:v>
                </c:pt>
                <c:pt idx="2">
                  <c:v>0</c:v>
                </c:pt>
                <c:pt idx="3">
                  <c:v>0</c:v>
                </c:pt>
                <c:pt idx="4">
                  <c:v>0</c:v>
                </c:pt>
                <c:pt idx="5">
                  <c:v>0</c:v>
                </c:pt>
                <c:pt idx="6">
                  <c:v>1.6278832816206394E-2</c:v>
                </c:pt>
                <c:pt idx="7">
                  <c:v>6.2818607932607073E-2</c:v>
                </c:pt>
                <c:pt idx="8">
                  <c:v>0.11021291949716548</c:v>
                </c:pt>
                <c:pt idx="9">
                  <c:v>0.25933207104148637</c:v>
                </c:pt>
                <c:pt idx="10">
                  <c:v>0.39486722433410609</c:v>
                </c:pt>
                <c:pt idx="11">
                  <c:v>0.46366346581280304</c:v>
                </c:pt>
                <c:pt idx="12">
                  <c:v>0.47492662003571551</c:v>
                </c:pt>
                <c:pt idx="13">
                  <c:v>0.46864428142790288</c:v>
                </c:pt>
                <c:pt idx="14">
                  <c:v>0.47330209828135617</c:v>
                </c:pt>
                <c:pt idx="15">
                  <c:v>0.46439535351435429</c:v>
                </c:pt>
                <c:pt idx="16">
                  <c:v>0.45808938982602254</c:v>
                </c:pt>
                <c:pt idx="17">
                  <c:v>0.45246293351096023</c:v>
                </c:pt>
                <c:pt idx="18">
                  <c:v>0.44884273736346081</c:v>
                </c:pt>
                <c:pt idx="19">
                  <c:v>0.4564701380712658</c:v>
                </c:pt>
                <c:pt idx="20">
                  <c:v>0.46659158788421173</c:v>
                </c:pt>
                <c:pt idx="21">
                  <c:v>0.48192854025646109</c:v>
                </c:pt>
                <c:pt idx="22">
                  <c:v>0.4959939686678887</c:v>
                </c:pt>
                <c:pt idx="23">
                  <c:v>0.49783203846362756</c:v>
                </c:pt>
                <c:pt idx="24">
                  <c:v>0.48596096929511878</c:v>
                </c:pt>
                <c:pt idx="25">
                  <c:v>0.45785396138358014</c:v>
                </c:pt>
                <c:pt idx="26">
                  <c:v>0.42570187815730248</c:v>
                </c:pt>
                <c:pt idx="27">
                  <c:v>0.38946136059668357</c:v>
                </c:pt>
                <c:pt idx="28">
                  <c:v>0.36414731883878126</c:v>
                </c:pt>
                <c:pt idx="29">
                  <c:v>0.3471600554358768</c:v>
                </c:pt>
                <c:pt idx="30">
                  <c:v>0.3110152132714219</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2.3791997432897357E-5</c:v>
                </c:pt>
                <c:pt idx="24">
                  <c:v>1.2076486954716184E-3</c:v>
                </c:pt>
                <c:pt idx="25">
                  <c:v>8.2581780433668168E-3</c:v>
                </c:pt>
                <c:pt idx="26">
                  <c:v>2.2761251670095035E-2</c:v>
                </c:pt>
                <c:pt idx="27">
                  <c:v>4.6514634572846075E-2</c:v>
                </c:pt>
                <c:pt idx="28">
                  <c:v>6.662081670354178E-2</c:v>
                </c:pt>
                <c:pt idx="29">
                  <c:v>8.3207902991874083E-2</c:v>
                </c:pt>
                <c:pt idx="30">
                  <c:v>0.12136383881918343</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Veh-Mi'!$R$22:$R$52</c:f>
              <c:numCache>
                <c:formatCode>0.0%</c:formatCode>
                <c:ptCount val="31"/>
                <c:pt idx="0">
                  <c:v>0</c:v>
                </c:pt>
                <c:pt idx="1">
                  <c:v>0</c:v>
                </c:pt>
                <c:pt idx="2">
                  <c:v>0</c:v>
                </c:pt>
                <c:pt idx="3">
                  <c:v>0</c:v>
                </c:pt>
                <c:pt idx="4">
                  <c:v>0</c:v>
                </c:pt>
                <c:pt idx="5">
                  <c:v>0</c:v>
                </c:pt>
                <c:pt idx="6">
                  <c:v>0</c:v>
                </c:pt>
                <c:pt idx="7">
                  <c:v>0</c:v>
                </c:pt>
                <c:pt idx="8">
                  <c:v>0</c:v>
                </c:pt>
                <c:pt idx="9">
                  <c:v>0</c:v>
                </c:pt>
                <c:pt idx="10">
                  <c:v>0</c:v>
                </c:pt>
                <c:pt idx="11">
                  <c:v>2.7023709741197032E-7</c:v>
                </c:pt>
                <c:pt idx="12">
                  <c:v>5.1799769317664647E-6</c:v>
                </c:pt>
                <c:pt idx="13">
                  <c:v>6.9464038311912993E-5</c:v>
                </c:pt>
                <c:pt idx="14">
                  <c:v>2.4025766003467314E-4</c:v>
                </c:pt>
                <c:pt idx="15">
                  <c:v>7.0735564047635425E-4</c:v>
                </c:pt>
                <c:pt idx="16">
                  <c:v>1.9710174742994554E-3</c:v>
                </c:pt>
                <c:pt idx="17">
                  <c:v>3.0550932034214889E-3</c:v>
                </c:pt>
                <c:pt idx="18">
                  <c:v>4.8203239381893487E-3</c:v>
                </c:pt>
                <c:pt idx="19">
                  <c:v>7.1634189773193916E-3</c:v>
                </c:pt>
                <c:pt idx="20">
                  <c:v>1.0643192884928918E-2</c:v>
                </c:pt>
                <c:pt idx="21">
                  <c:v>1.6497447997180729E-2</c:v>
                </c:pt>
                <c:pt idx="22">
                  <c:v>2.5798297258145714E-2</c:v>
                </c:pt>
                <c:pt idx="23">
                  <c:v>3.7859044014292034E-2</c:v>
                </c:pt>
                <c:pt idx="24">
                  <c:v>5.3297685353071111E-2</c:v>
                </c:pt>
                <c:pt idx="25">
                  <c:v>7.2605153142390605E-2</c:v>
                </c:pt>
                <c:pt idx="26">
                  <c:v>9.1560008070167995E-2</c:v>
                </c:pt>
                <c:pt idx="27">
                  <c:v>0.10995398407579141</c:v>
                </c:pt>
                <c:pt idx="28">
                  <c:v>0.12355191414672689</c:v>
                </c:pt>
                <c:pt idx="29">
                  <c:v>0.1326530812266373</c:v>
                </c:pt>
                <c:pt idx="30">
                  <c:v>0.1470199162103597</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PHEV</c:v>
                </c:pt>
              </c:strCache>
            </c:strRef>
          </c:tx>
          <c:spPr>
            <a:solidFill>
              <a:schemeClr val="accent5">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Veh-Mi'!$S$22:$S$52</c:f>
              <c:numCache>
                <c:formatCode>0.0%</c:formatCode>
                <c:ptCount val="31"/>
                <c:pt idx="0">
                  <c:v>0</c:v>
                </c:pt>
                <c:pt idx="1">
                  <c:v>0</c:v>
                </c:pt>
                <c:pt idx="2">
                  <c:v>0</c:v>
                </c:pt>
                <c:pt idx="3">
                  <c:v>0</c:v>
                </c:pt>
                <c:pt idx="4">
                  <c:v>0</c:v>
                </c:pt>
                <c:pt idx="5">
                  <c:v>0</c:v>
                </c:pt>
                <c:pt idx="6">
                  <c:v>1.1449193574182888E-7</c:v>
                </c:pt>
                <c:pt idx="7">
                  <c:v>2.1442304099583558E-6</c:v>
                </c:pt>
                <c:pt idx="8">
                  <c:v>1.3322682824136157E-5</c:v>
                </c:pt>
                <c:pt idx="9">
                  <c:v>4.3764978152110195E-5</c:v>
                </c:pt>
                <c:pt idx="10">
                  <c:v>1.8223186858436582E-4</c:v>
                </c:pt>
                <c:pt idx="11">
                  <c:v>4.6699568606110576E-4</c:v>
                </c:pt>
                <c:pt idx="12">
                  <c:v>8.0495047483268383E-4</c:v>
                </c:pt>
                <c:pt idx="13">
                  <c:v>1.4383734817584135E-3</c:v>
                </c:pt>
                <c:pt idx="14">
                  <c:v>2.1682713055755647E-3</c:v>
                </c:pt>
                <c:pt idx="15">
                  <c:v>3.6787884196571126E-3</c:v>
                </c:pt>
                <c:pt idx="16">
                  <c:v>4.9546644511782286E-3</c:v>
                </c:pt>
                <c:pt idx="17">
                  <c:v>5.7039763953943392E-3</c:v>
                </c:pt>
                <c:pt idx="18">
                  <c:v>6.6497201712035683E-3</c:v>
                </c:pt>
                <c:pt idx="19">
                  <c:v>8.4264702914436107E-3</c:v>
                </c:pt>
                <c:pt idx="20">
                  <c:v>1.0971415351900301E-2</c:v>
                </c:pt>
                <c:pt idx="21">
                  <c:v>1.5596907344999094E-2</c:v>
                </c:pt>
                <c:pt idx="22">
                  <c:v>2.3379502543370144E-2</c:v>
                </c:pt>
                <c:pt idx="23">
                  <c:v>3.5625808902598706E-2</c:v>
                </c:pt>
                <c:pt idx="24">
                  <c:v>5.3064063898434329E-2</c:v>
                </c:pt>
                <c:pt idx="25">
                  <c:v>7.7240530743620167E-2</c:v>
                </c:pt>
                <c:pt idx="26">
                  <c:v>9.9546415775694341E-2</c:v>
                </c:pt>
                <c:pt idx="27">
                  <c:v>0.11647895044178949</c:v>
                </c:pt>
                <c:pt idx="28">
                  <c:v>0.12534801405757925</c:v>
                </c:pt>
                <c:pt idx="29">
                  <c:v>0.12990224406107836</c:v>
                </c:pt>
                <c:pt idx="30">
                  <c:v>0.13926160043809066</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tickLblSkip val="5"/>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113844.88553309903</c:v>
                </c:pt>
                <c:pt idx="7">
                  <c:v>113228.00791030721</c:v>
                </c:pt>
                <c:pt idx="8">
                  <c:v>111517.15061369324</c:v>
                </c:pt>
                <c:pt idx="9">
                  <c:v>107986.77135875532</c:v>
                </c:pt>
                <c:pt idx="10">
                  <c:v>101310.99107605233</c:v>
                </c:pt>
                <c:pt idx="11">
                  <c:v>89692.575115237152</c:v>
                </c:pt>
                <c:pt idx="12">
                  <c:v>74218.969624193182</c:v>
                </c:pt>
                <c:pt idx="13">
                  <c:v>61494.226741405742</c:v>
                </c:pt>
                <c:pt idx="14">
                  <c:v>53674.512469085144</c:v>
                </c:pt>
                <c:pt idx="15">
                  <c:v>48657.392630125236</c:v>
                </c:pt>
                <c:pt idx="16">
                  <c:v>45216.209081967376</c:v>
                </c:pt>
                <c:pt idx="17">
                  <c:v>44733.875251847086</c:v>
                </c:pt>
                <c:pt idx="18">
                  <c:v>44668.983186255391</c:v>
                </c:pt>
                <c:pt idx="19">
                  <c:v>42670.152601215799</c:v>
                </c:pt>
                <c:pt idx="20">
                  <c:v>42986.792190184678</c:v>
                </c:pt>
                <c:pt idx="21">
                  <c:v>42038.492368086103</c:v>
                </c:pt>
                <c:pt idx="22">
                  <c:v>42697.770694560109</c:v>
                </c:pt>
                <c:pt idx="23">
                  <c:v>43494.259558748476</c:v>
                </c:pt>
                <c:pt idx="24">
                  <c:v>44473.448248827503</c:v>
                </c:pt>
                <c:pt idx="25">
                  <c:v>42996.117177488355</c:v>
                </c:pt>
                <c:pt idx="26">
                  <c:v>45746.753507473106</c:v>
                </c:pt>
                <c:pt idx="27">
                  <c:v>44110.046012720341</c:v>
                </c:pt>
                <c:pt idx="28">
                  <c:v>43928.37430236311</c:v>
                </c:pt>
                <c:pt idx="29">
                  <c:v>44141.379616753176</c:v>
                </c:pt>
                <c:pt idx="30">
                  <c:v>44494.97989390236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127830.76167836836</c:v>
                </c:pt>
                <c:pt idx="7">
                  <c:v>137897.53457333721</c:v>
                </c:pt>
                <c:pt idx="8">
                  <c:v>122018.32935331603</c:v>
                </c:pt>
                <c:pt idx="9">
                  <c:v>120372.19430133513</c:v>
                </c:pt>
                <c:pt idx="10">
                  <c:v>118641.39446078349</c:v>
                </c:pt>
                <c:pt idx="11">
                  <c:v>117777.69917919717</c:v>
                </c:pt>
                <c:pt idx="12">
                  <c:v>117317.64051076786</c:v>
                </c:pt>
                <c:pt idx="13">
                  <c:v>117115.24212039722</c:v>
                </c:pt>
                <c:pt idx="14">
                  <c:v>117134.25857162861</c:v>
                </c:pt>
                <c:pt idx="15">
                  <c:v>117034.57834628168</c:v>
                </c:pt>
                <c:pt idx="16">
                  <c:v>117101.08871653036</c:v>
                </c:pt>
                <c:pt idx="17">
                  <c:v>117295.20679697685</c:v>
                </c:pt>
                <c:pt idx="18">
                  <c:v>117554.5870716037</c:v>
                </c:pt>
                <c:pt idx="19">
                  <c:v>117565.5411483154</c:v>
                </c:pt>
                <c:pt idx="20">
                  <c:v>117745.15216492234</c:v>
                </c:pt>
                <c:pt idx="21">
                  <c:v>117861.28055927117</c:v>
                </c:pt>
                <c:pt idx="22">
                  <c:v>118246.43420564325</c:v>
                </c:pt>
                <c:pt idx="23">
                  <c:v>118191.50087455072</c:v>
                </c:pt>
                <c:pt idx="24">
                  <c:v>116889.38590354769</c:v>
                </c:pt>
                <c:pt idx="25">
                  <c:v>115098.0915970589</c:v>
                </c:pt>
                <c:pt idx="26">
                  <c:v>114509.69056222431</c:v>
                </c:pt>
                <c:pt idx="27">
                  <c:v>114551.30747147123</c:v>
                </c:pt>
                <c:pt idx="28">
                  <c:v>115137.6507128447</c:v>
                </c:pt>
                <c:pt idx="29">
                  <c:v>115643.94512569514</c:v>
                </c:pt>
                <c:pt idx="30">
                  <c:v>116588.73070111006</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134251.84675509404</c:v>
                </c:pt>
                <c:pt idx="7">
                  <c:v>136349.41993803633</c:v>
                </c:pt>
                <c:pt idx="8">
                  <c:v>129305.23378579512</c:v>
                </c:pt>
                <c:pt idx="9">
                  <c:v>127872.30500968764</c:v>
                </c:pt>
                <c:pt idx="10">
                  <c:v>125676.41476432465</c:v>
                </c:pt>
                <c:pt idx="11">
                  <c:v>124643.84169644794</c:v>
                </c:pt>
                <c:pt idx="12">
                  <c:v>124255.77468429934</c:v>
                </c:pt>
                <c:pt idx="13">
                  <c:v>123606.66949658045</c:v>
                </c:pt>
                <c:pt idx="14">
                  <c:v>123403.51116895252</c:v>
                </c:pt>
                <c:pt idx="15">
                  <c:v>123393.24231947043</c:v>
                </c:pt>
                <c:pt idx="16">
                  <c:v>122823.09213785123</c:v>
                </c:pt>
                <c:pt idx="17">
                  <c:v>122499.50214427859</c:v>
                </c:pt>
                <c:pt idx="18">
                  <c:v>122106.66809081059</c:v>
                </c:pt>
                <c:pt idx="19">
                  <c:v>121665.44928294636</c:v>
                </c:pt>
                <c:pt idx="20">
                  <c:v>121144.45344523313</c:v>
                </c:pt>
                <c:pt idx="21">
                  <c:v>120679.08307991593</c:v>
                </c:pt>
                <c:pt idx="22">
                  <c:v>120165.6224094279</c:v>
                </c:pt>
                <c:pt idx="23">
                  <c:v>119451.65433081004</c:v>
                </c:pt>
                <c:pt idx="24">
                  <c:v>117761.95058290238</c:v>
                </c:pt>
                <c:pt idx="25">
                  <c:v>115876.71159359129</c:v>
                </c:pt>
                <c:pt idx="26">
                  <c:v>115181.85401554868</c:v>
                </c:pt>
                <c:pt idx="27">
                  <c:v>115154.92240465642</c:v>
                </c:pt>
                <c:pt idx="28">
                  <c:v>115628.70867801469</c:v>
                </c:pt>
                <c:pt idx="29">
                  <c:v>116106.89208780778</c:v>
                </c:pt>
                <c:pt idx="30">
                  <c:v>116892.11598781659</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123920.56908606578</c:v>
                </c:pt>
                <c:pt idx="26">
                  <c:v>119919.35876666516</c:v>
                </c:pt>
                <c:pt idx="27">
                  <c:v>116486.41375472123</c:v>
                </c:pt>
                <c:pt idx="28">
                  <c:v>114306.68688659731</c:v>
                </c:pt>
                <c:pt idx="29">
                  <c:v>113058.58676804561</c:v>
                </c:pt>
                <c:pt idx="30">
                  <c:v>111273.56266300687</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224042.00197938742</c:v>
                </c:pt>
                <c:pt idx="23">
                  <c:v>200833.12542821458</c:v>
                </c:pt>
                <c:pt idx="24">
                  <c:v>157906.88288511077</c:v>
                </c:pt>
                <c:pt idx="25">
                  <c:v>139363.27651201098</c:v>
                </c:pt>
                <c:pt idx="26">
                  <c:v>132370.19577215976</c:v>
                </c:pt>
                <c:pt idx="27">
                  <c:v>128496.23362312741</c:v>
                </c:pt>
                <c:pt idx="28">
                  <c:v>125935.42902063557</c:v>
                </c:pt>
                <c:pt idx="29">
                  <c:v>124736.25144968103</c:v>
                </c:pt>
                <c:pt idx="30">
                  <c:v>123312.74797295232</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PHEV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227152.06402989526</c:v>
                </c:pt>
                <c:pt idx="23">
                  <c:v>219391.6122703529</c:v>
                </c:pt>
                <c:pt idx="24">
                  <c:v>178300.91434097782</c:v>
                </c:pt>
                <c:pt idx="25">
                  <c:v>145163.15392084443</c:v>
                </c:pt>
                <c:pt idx="26">
                  <c:v>135128.83143307321</c:v>
                </c:pt>
                <c:pt idx="27">
                  <c:v>130884.00158388681</c:v>
                </c:pt>
                <c:pt idx="28">
                  <c:v>128885.88197313319</c:v>
                </c:pt>
                <c:pt idx="29">
                  <c:v>128028.40369291221</c:v>
                </c:pt>
                <c:pt idx="30">
                  <c:v>127144.47739154103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76349.568427292572</c:v>
                </c:pt>
                <c:pt idx="7">
                  <c:v>75616.553399424418</c:v>
                </c:pt>
                <c:pt idx="8">
                  <c:v>73308.475534569065</c:v>
                </c:pt>
                <c:pt idx="9">
                  <c:v>69001.360610153308</c:v>
                </c:pt>
                <c:pt idx="10">
                  <c:v>62649.360312313074</c:v>
                </c:pt>
                <c:pt idx="11">
                  <c:v>56343.706126986457</c:v>
                </c:pt>
                <c:pt idx="12">
                  <c:v>52081.880752220211</c:v>
                </c:pt>
                <c:pt idx="13">
                  <c:v>49724.755046618629</c:v>
                </c:pt>
                <c:pt idx="14">
                  <c:v>48847.944923961819</c:v>
                </c:pt>
                <c:pt idx="15">
                  <c:v>47697.875981124831</c:v>
                </c:pt>
                <c:pt idx="16">
                  <c:v>47438.13651044618</c:v>
                </c:pt>
                <c:pt idx="17">
                  <c:v>47277.104664119863</c:v>
                </c:pt>
                <c:pt idx="18">
                  <c:v>46686.058381263407</c:v>
                </c:pt>
                <c:pt idx="19">
                  <c:v>46225.476208094966</c:v>
                </c:pt>
                <c:pt idx="20">
                  <c:v>46004.071942485032</c:v>
                </c:pt>
                <c:pt idx="21">
                  <c:v>45607.367701330222</c:v>
                </c:pt>
                <c:pt idx="22">
                  <c:v>44927.160129791868</c:v>
                </c:pt>
                <c:pt idx="23">
                  <c:v>45011.457661585147</c:v>
                </c:pt>
                <c:pt idx="24">
                  <c:v>44797.207965401998</c:v>
                </c:pt>
                <c:pt idx="25">
                  <c:v>44585.121195618027</c:v>
                </c:pt>
                <c:pt idx="26">
                  <c:v>44679.726437907011</c:v>
                </c:pt>
                <c:pt idx="27">
                  <c:v>44660.464876358543</c:v>
                </c:pt>
                <c:pt idx="28">
                  <c:v>44493.157449178521</c:v>
                </c:pt>
                <c:pt idx="29">
                  <c:v>44198.030961971097</c:v>
                </c:pt>
                <c:pt idx="30">
                  <c:v>44467.414333863504</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110005.01717645318</c:v>
                </c:pt>
                <c:pt idx="7">
                  <c:v>120695.21355982065</c:v>
                </c:pt>
                <c:pt idx="8">
                  <c:v>113769.92187517772</c:v>
                </c:pt>
                <c:pt idx="9">
                  <c:v>110451.03538566627</c:v>
                </c:pt>
                <c:pt idx="10">
                  <c:v>106877.72483544709</c:v>
                </c:pt>
                <c:pt idx="11">
                  <c:v>104002.82051227686</c:v>
                </c:pt>
                <c:pt idx="12">
                  <c:v>102605.74610706211</c:v>
                </c:pt>
                <c:pt idx="13">
                  <c:v>101211.09398676563</c:v>
                </c:pt>
                <c:pt idx="14">
                  <c:v>100868.99307756725</c:v>
                </c:pt>
                <c:pt idx="15">
                  <c:v>100476.76518610539</c:v>
                </c:pt>
                <c:pt idx="16">
                  <c:v>100023.20005375356</c:v>
                </c:pt>
                <c:pt idx="17">
                  <c:v>99697.146632702716</c:v>
                </c:pt>
                <c:pt idx="18">
                  <c:v>99591.098727307181</c:v>
                </c:pt>
                <c:pt idx="19">
                  <c:v>98871.460174640626</c:v>
                </c:pt>
                <c:pt idx="20">
                  <c:v>98569.265204485157</c:v>
                </c:pt>
                <c:pt idx="21">
                  <c:v>97684.23535894962</c:v>
                </c:pt>
                <c:pt idx="22">
                  <c:v>95869.429623438336</c:v>
                </c:pt>
                <c:pt idx="23">
                  <c:v>93627.143194594144</c:v>
                </c:pt>
                <c:pt idx="24">
                  <c:v>92449.560667183861</c:v>
                </c:pt>
                <c:pt idx="25">
                  <c:v>92522.477398086485</c:v>
                </c:pt>
                <c:pt idx="26">
                  <c:v>94089.059750534463</c:v>
                </c:pt>
                <c:pt idx="27">
                  <c:v>95619.449633494776</c:v>
                </c:pt>
                <c:pt idx="28">
                  <c:v>97028.03337186102</c:v>
                </c:pt>
                <c:pt idx="29">
                  <c:v>97786.879247272751</c:v>
                </c:pt>
                <c:pt idx="30">
                  <c:v>98611.491334209641</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120827.55998187355</c:v>
                </c:pt>
                <c:pt idx="7">
                  <c:v>127242.01880526359</c:v>
                </c:pt>
                <c:pt idx="8">
                  <c:v>120968.82086941281</c:v>
                </c:pt>
                <c:pt idx="9">
                  <c:v>117653.27623801399</c:v>
                </c:pt>
                <c:pt idx="10">
                  <c:v>113397.36922125098</c:v>
                </c:pt>
                <c:pt idx="11">
                  <c:v>110304.37343064781</c:v>
                </c:pt>
                <c:pt idx="12">
                  <c:v>108635.32256763808</c:v>
                </c:pt>
                <c:pt idx="13">
                  <c:v>107326.38613698457</c:v>
                </c:pt>
                <c:pt idx="14">
                  <c:v>106802.98327701044</c:v>
                </c:pt>
                <c:pt idx="15">
                  <c:v>106067.39390162421</c:v>
                </c:pt>
                <c:pt idx="16">
                  <c:v>105393.28648758073</c:v>
                </c:pt>
                <c:pt idx="17">
                  <c:v>104850.69346188284</c:v>
                </c:pt>
                <c:pt idx="18">
                  <c:v>104087.53594898182</c:v>
                </c:pt>
                <c:pt idx="19">
                  <c:v>103096.06822074162</c:v>
                </c:pt>
                <c:pt idx="20">
                  <c:v>101996.79005150549</c:v>
                </c:pt>
                <c:pt idx="21">
                  <c:v>100282.48537846761</c:v>
                </c:pt>
                <c:pt idx="22">
                  <c:v>97514.879570397999</c:v>
                </c:pt>
                <c:pt idx="23">
                  <c:v>94954.921397836326</c:v>
                </c:pt>
                <c:pt idx="24">
                  <c:v>93310.908465917339</c:v>
                </c:pt>
                <c:pt idx="25">
                  <c:v>93008.355082731985</c:v>
                </c:pt>
                <c:pt idx="26">
                  <c:v>94076.685648532526</c:v>
                </c:pt>
                <c:pt idx="27">
                  <c:v>95565.453288145407</c:v>
                </c:pt>
                <c:pt idx="28">
                  <c:v>96801.886913136201</c:v>
                </c:pt>
                <c:pt idx="29">
                  <c:v>97268.456308507157</c:v>
                </c:pt>
                <c:pt idx="30">
                  <c:v>98096.471521343614</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71074.945309880262</c:v>
                </c:pt>
                <c:pt idx="25">
                  <c:v>68410.871694249028</c:v>
                </c:pt>
                <c:pt idx="26">
                  <c:v>65051.453610753211</c:v>
                </c:pt>
                <c:pt idx="27">
                  <c:v>62796.956818521969</c:v>
                </c:pt>
                <c:pt idx="28">
                  <c:v>61097.998172914413</c:v>
                </c:pt>
                <c:pt idx="29">
                  <c:v>60028.076940826497</c:v>
                </c:pt>
                <c:pt idx="30">
                  <c:v>57702.608099862053</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218117.83528449031</c:v>
                </c:pt>
                <c:pt idx="20">
                  <c:v>208827.26605925141</c:v>
                </c:pt>
                <c:pt idx="21">
                  <c:v>185048.33959043986</c:v>
                </c:pt>
                <c:pt idx="22">
                  <c:v>155175.82655156867</c:v>
                </c:pt>
                <c:pt idx="23">
                  <c:v>136222.25372168404</c:v>
                </c:pt>
                <c:pt idx="24">
                  <c:v>123282.75533536005</c:v>
                </c:pt>
                <c:pt idx="25">
                  <c:v>115018.61622621147</c:v>
                </c:pt>
                <c:pt idx="26">
                  <c:v>111271.48764570827</c:v>
                </c:pt>
                <c:pt idx="27">
                  <c:v>108374.04370672761</c:v>
                </c:pt>
                <c:pt idx="28">
                  <c:v>106502.26322486361</c:v>
                </c:pt>
                <c:pt idx="29">
                  <c:v>105252.11983044742</c:v>
                </c:pt>
                <c:pt idx="30">
                  <c:v>103775.4224775894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PHEV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222087.4243433089</c:v>
                </c:pt>
                <c:pt idx="13">
                  <c:v>222028.71937132411</c:v>
                </c:pt>
                <c:pt idx="14">
                  <c:v>221955.85136954987</c:v>
                </c:pt>
                <c:pt idx="15">
                  <c:v>220938.82660577062</c:v>
                </c:pt>
                <c:pt idx="16">
                  <c:v>218941.99175454045</c:v>
                </c:pt>
                <c:pt idx="17">
                  <c:v>217554.49689331729</c:v>
                </c:pt>
                <c:pt idx="18">
                  <c:v>213771.41575737327</c:v>
                </c:pt>
                <c:pt idx="19">
                  <c:v>207722.90332468122</c:v>
                </c:pt>
                <c:pt idx="20">
                  <c:v>195611.42515262781</c:v>
                </c:pt>
                <c:pt idx="21">
                  <c:v>176259.12053932191</c:v>
                </c:pt>
                <c:pt idx="22">
                  <c:v>154418.55278274507</c:v>
                </c:pt>
                <c:pt idx="23">
                  <c:v>135711.77344698645</c:v>
                </c:pt>
                <c:pt idx="24">
                  <c:v>120669.89177684431</c:v>
                </c:pt>
                <c:pt idx="25">
                  <c:v>111480.86502495995</c:v>
                </c:pt>
                <c:pt idx="26">
                  <c:v>106479.11245689877</c:v>
                </c:pt>
                <c:pt idx="27">
                  <c:v>103876.33467583742</c:v>
                </c:pt>
                <c:pt idx="28">
                  <c:v>102676.79636365331</c:v>
                </c:pt>
                <c:pt idx="29">
                  <c:v>101866.62258983385</c:v>
                </c:pt>
                <c:pt idx="30">
                  <c:v>100882.9162267933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26975.419178642111</c:v>
                </c:pt>
                <c:pt idx="20">
                  <c:v>26525.714993713485</c:v>
                </c:pt>
                <c:pt idx="21">
                  <c:v>25478.161407792752</c:v>
                </c:pt>
                <c:pt idx="22">
                  <c:v>23709.806240313312</c:v>
                </c:pt>
                <c:pt idx="23">
                  <c:v>21543.525181642901</c:v>
                </c:pt>
                <c:pt idx="24">
                  <c:v>20027.408627373741</c:v>
                </c:pt>
                <c:pt idx="25">
                  <c:v>18769.800112807887</c:v>
                </c:pt>
                <c:pt idx="26">
                  <c:v>18079.088940062324</c:v>
                </c:pt>
                <c:pt idx="27">
                  <c:v>17573.371282372878</c:v>
                </c:pt>
                <c:pt idx="28">
                  <c:v>17254.563853877149</c:v>
                </c:pt>
                <c:pt idx="29">
                  <c:v>16162.616092935004</c:v>
                </c:pt>
                <c:pt idx="30">
                  <c:v>15816.132977540005</c:v>
                </c:pt>
                <c:pt idx="31">
                  <c:v>15389.295716067685</c:v>
                </c:pt>
                <c:pt idx="32">
                  <c:v>14684.209438829324</c:v>
                </c:pt>
                <c:pt idx="33">
                  <c:v>14045.683003793407</c:v>
                </c:pt>
                <c:pt idx="34">
                  <c:v>13468.816748637255</c:v>
                </c:pt>
                <c:pt idx="35">
                  <c:v>12958.748101679941</c:v>
                </c:pt>
                <c:pt idx="36">
                  <c:v>12351.950771496551</c:v>
                </c:pt>
                <c:pt idx="37">
                  <c:v>12356.577854617037</c:v>
                </c:pt>
                <c:pt idx="38">
                  <c:v>12910.450282893882</c:v>
                </c:pt>
                <c:pt idx="39">
                  <c:v>27261.021505222652</c:v>
                </c:pt>
                <c:pt idx="40">
                  <c:v>27261.021505265177</c:v>
                </c:pt>
                <c:pt idx="41">
                  <c:v>27261.021505313387</c:v>
                </c:pt>
                <c:pt idx="42">
                  <c:v>27261.021505205488</c:v>
                </c:pt>
                <c:pt idx="43">
                  <c:v>27261.021505610061</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52294.463685995681</c:v>
                </c:pt>
                <c:pt idx="19">
                  <c:v>132453.65105356259</c:v>
                </c:pt>
                <c:pt idx="20">
                  <c:v>61521.65847009408</c:v>
                </c:pt>
                <c:pt idx="21">
                  <c:v>121817.78834976707</c:v>
                </c:pt>
                <c:pt idx="22">
                  <c:v>150461.16747488015</c:v>
                </c:pt>
                <c:pt idx="23">
                  <c:v>149716.13502984462</c:v>
                </c:pt>
                <c:pt idx="24">
                  <c:v>92635.340845441009</c:v>
                </c:pt>
                <c:pt idx="25">
                  <c:v>77217.731709764717</c:v>
                </c:pt>
                <c:pt idx="26">
                  <c:v>71093.543917712392</c:v>
                </c:pt>
                <c:pt idx="27">
                  <c:v>63577.481756976355</c:v>
                </c:pt>
                <c:pt idx="28">
                  <c:v>51002.729714539542</c:v>
                </c:pt>
                <c:pt idx="29">
                  <c:v>47974.747712029181</c:v>
                </c:pt>
                <c:pt idx="30">
                  <c:v>45284.257264133863</c:v>
                </c:pt>
                <c:pt idx="31">
                  <c:v>42716.38692966073</c:v>
                </c:pt>
                <c:pt idx="32">
                  <c:v>40751.393807577624</c:v>
                </c:pt>
                <c:pt idx="33">
                  <c:v>38067.786258850756</c:v>
                </c:pt>
                <c:pt idx="34">
                  <c:v>34747.391491426977</c:v>
                </c:pt>
                <c:pt idx="35">
                  <c:v>31699.208162448303</c:v>
                </c:pt>
                <c:pt idx="36">
                  <c:v>29373.994750007838</c:v>
                </c:pt>
                <c:pt idx="37">
                  <c:v>27589.724485974588</c:v>
                </c:pt>
                <c:pt idx="38">
                  <c:v>26570.027484036724</c:v>
                </c:pt>
                <c:pt idx="39">
                  <c:v>25648.761517618019</c:v>
                </c:pt>
                <c:pt idx="40">
                  <c:v>24949.488358397237</c:v>
                </c:pt>
                <c:pt idx="41">
                  <c:v>24639.405583662123</c:v>
                </c:pt>
                <c:pt idx="42">
                  <c:v>24076.162236585889</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41774.43881245565</c:v>
                </c:pt>
                <c:pt idx="11">
                  <c:v>43946.279183397615</c:v>
                </c:pt>
                <c:pt idx="12">
                  <c:v>40245.673386745329</c:v>
                </c:pt>
                <c:pt idx="13">
                  <c:v>43571.459518639131</c:v>
                </c:pt>
                <c:pt idx="14">
                  <c:v>44679.501886240585</c:v>
                </c:pt>
                <c:pt idx="15">
                  <c:v>45248.319145471214</c:v>
                </c:pt>
                <c:pt idx="16">
                  <c:v>41665.722262298317</c:v>
                </c:pt>
                <c:pt idx="17">
                  <c:v>40106.039353424487</c:v>
                </c:pt>
                <c:pt idx="18">
                  <c:v>39325.112332776996</c:v>
                </c:pt>
                <c:pt idx="19">
                  <c:v>38568.366645712165</c:v>
                </c:pt>
                <c:pt idx="20">
                  <c:v>37091.988460230059</c:v>
                </c:pt>
                <c:pt idx="21">
                  <c:v>36357.534072868155</c:v>
                </c:pt>
                <c:pt idx="22">
                  <c:v>35075.084377699342</c:v>
                </c:pt>
                <c:pt idx="23">
                  <c:v>32974.198668603531</c:v>
                </c:pt>
                <c:pt idx="24">
                  <c:v>30688.859182548204</c:v>
                </c:pt>
                <c:pt idx="25">
                  <c:v>28132.864496239687</c:v>
                </c:pt>
                <c:pt idx="26">
                  <c:v>26027.604138867129</c:v>
                </c:pt>
                <c:pt idx="27">
                  <c:v>24695.974116616602</c:v>
                </c:pt>
                <c:pt idx="28">
                  <c:v>23681.914279767389</c:v>
                </c:pt>
                <c:pt idx="29">
                  <c:v>23141.959616224634</c:v>
                </c:pt>
                <c:pt idx="30">
                  <c:v>22705.514450277111</c:v>
                </c:pt>
                <c:pt idx="31">
                  <c:v>22422.514870941744</c:v>
                </c:pt>
                <c:pt idx="32">
                  <c:v>22242.8884258711</c:v>
                </c:pt>
                <c:pt idx="33">
                  <c:v>22000.842943656025</c:v>
                </c:pt>
                <c:pt idx="34">
                  <c:v>22006.816196560598</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49073.51483985228</c:v>
                </c:pt>
                <c:pt idx="28">
                  <c:v>48643.653214452825</c:v>
                </c:pt>
                <c:pt idx="29">
                  <c:v>46137.49941945466</c:v>
                </c:pt>
                <c:pt idx="30">
                  <c:v>39811.527120182473</c:v>
                </c:pt>
                <c:pt idx="31">
                  <c:v>36014.603878748072</c:v>
                </c:pt>
                <c:pt idx="32">
                  <c:v>34607.037943534764</c:v>
                </c:pt>
                <c:pt idx="33">
                  <c:v>33594.308916710092</c:v>
                </c:pt>
                <c:pt idx="34">
                  <c:v>29720.558234679254</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224999.99999999994</c:v>
                </c:pt>
                <c:pt idx="20">
                  <c:v>212704.48992703919</c:v>
                </c:pt>
                <c:pt idx="21">
                  <c:v>174701.67169703241</c:v>
                </c:pt>
                <c:pt idx="22">
                  <c:v>164794.29032503132</c:v>
                </c:pt>
                <c:pt idx="23">
                  <c:v>157290.99841073694</c:v>
                </c:pt>
                <c:pt idx="24">
                  <c:v>149030.27081432121</c:v>
                </c:pt>
                <c:pt idx="25">
                  <c:v>143719.92245686808</c:v>
                </c:pt>
                <c:pt idx="26">
                  <c:v>136813.57796487794</c:v>
                </c:pt>
                <c:pt idx="27">
                  <c:v>127472.43011947162</c:v>
                </c:pt>
                <c:pt idx="28">
                  <c:v>116713.02620720987</c:v>
                </c:pt>
                <c:pt idx="29">
                  <c:v>104213.29095019399</c:v>
                </c:pt>
                <c:pt idx="30">
                  <c:v>91542.769093405484</c:v>
                </c:pt>
                <c:pt idx="31">
                  <c:v>81127.908465585759</c:v>
                </c:pt>
                <c:pt idx="32">
                  <c:v>70879.838705940128</c:v>
                </c:pt>
                <c:pt idx="33">
                  <c:v>59990.880238302911</c:v>
                </c:pt>
                <c:pt idx="34">
                  <c:v>52681.199029867603</c:v>
                </c:pt>
                <c:pt idx="35">
                  <c:v>48115.213336510365</c:v>
                </c:pt>
                <c:pt idx="36">
                  <c:v>45696.728638314598</c:v>
                </c:pt>
                <c:pt idx="37">
                  <c:v>44440.462780118891</c:v>
                </c:pt>
                <c:pt idx="38">
                  <c:v>42052.622409887059</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192442.63825648595</c:v>
                </c:pt>
                <c:pt idx="11">
                  <c:v>180285.58301991766</c:v>
                </c:pt>
                <c:pt idx="12">
                  <c:v>173564.64117716855</c:v>
                </c:pt>
                <c:pt idx="13">
                  <c:v>171027.46243039012</c:v>
                </c:pt>
                <c:pt idx="14">
                  <c:v>164970.05563742266</c:v>
                </c:pt>
                <c:pt idx="15">
                  <c:v>160116.0132237724</c:v>
                </c:pt>
                <c:pt idx="16">
                  <c:v>155947.73740321537</c:v>
                </c:pt>
                <c:pt idx="17">
                  <c:v>152020.1638777926</c:v>
                </c:pt>
                <c:pt idx="18">
                  <c:v>148867.94170380602</c:v>
                </c:pt>
                <c:pt idx="19">
                  <c:v>144128.62153140281</c:v>
                </c:pt>
                <c:pt idx="20">
                  <c:v>140211.23912622101</c:v>
                </c:pt>
                <c:pt idx="21">
                  <c:v>137409.05200942286</c:v>
                </c:pt>
                <c:pt idx="22">
                  <c:v>133046.50743371912</c:v>
                </c:pt>
                <c:pt idx="23">
                  <c:v>126847.18709076814</c:v>
                </c:pt>
                <c:pt idx="24">
                  <c:v>119134.73325361208</c:v>
                </c:pt>
                <c:pt idx="25">
                  <c:v>107780.21411382519</c:v>
                </c:pt>
                <c:pt idx="26">
                  <c:v>94696.185252386233</c:v>
                </c:pt>
                <c:pt idx="27">
                  <c:v>81544.430799734415</c:v>
                </c:pt>
                <c:pt idx="28">
                  <c:v>67797.629588433047</c:v>
                </c:pt>
                <c:pt idx="29">
                  <c:v>54649.106875906116</c:v>
                </c:pt>
                <c:pt idx="30">
                  <c:v>48349.630812911797</c:v>
                </c:pt>
                <c:pt idx="31">
                  <c:v>45239.823267209867</c:v>
                </c:pt>
                <c:pt idx="32">
                  <c:v>44087.30847157367</c:v>
                </c:pt>
                <c:pt idx="33">
                  <c:v>43614.215914949527</c:v>
                </c:pt>
                <c:pt idx="34">
                  <c:v>42395.479670847679</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1.1986314465544006E-2</c:v>
                </c:pt>
                <c:pt idx="20">
                  <c:v>1.7215012536538635E-2</c:v>
                </c:pt>
                <c:pt idx="21">
                  <c:v>8.7840353828534015E-2</c:v>
                </c:pt>
                <c:pt idx="22">
                  <c:v>0.17095265749064226</c:v>
                </c:pt>
                <c:pt idx="23">
                  <c:v>0.25746987312280084</c:v>
                </c:pt>
                <c:pt idx="24">
                  <c:v>0.31116175976142357</c:v>
                </c:pt>
                <c:pt idx="25">
                  <c:v>0.33936063014567081</c:v>
                </c:pt>
                <c:pt idx="26">
                  <c:v>0.34677719111973421</c:v>
                </c:pt>
                <c:pt idx="27">
                  <c:v>0.35038762959045977</c:v>
                </c:pt>
                <c:pt idx="28">
                  <c:v>0.35251149050185582</c:v>
                </c:pt>
                <c:pt idx="29">
                  <c:v>0.35002103174512939</c:v>
                </c:pt>
                <c:pt idx="30">
                  <c:v>0.3460799498027885</c:v>
                </c:pt>
                <c:pt idx="31">
                  <c:v>0.3428764999576237</c:v>
                </c:pt>
                <c:pt idx="32">
                  <c:v>0.34133632156295879</c:v>
                </c:pt>
                <c:pt idx="33">
                  <c:v>0.33779276379910894</c:v>
                </c:pt>
                <c:pt idx="34">
                  <c:v>0.33526026498891304</c:v>
                </c:pt>
                <c:pt idx="35">
                  <c:v>0.33270886058570975</c:v>
                </c:pt>
                <c:pt idx="36">
                  <c:v>0.32780763731268409</c:v>
                </c:pt>
                <c:pt idx="37">
                  <c:v>0.31127319809803017</c:v>
                </c:pt>
                <c:pt idx="38">
                  <c:v>0.27536395757842208</c:v>
                </c:pt>
                <c:pt idx="39">
                  <c:v>0.23891790916710287</c:v>
                </c:pt>
                <c:pt idx="40">
                  <c:v>0.21217924082312947</c:v>
                </c:pt>
                <c:pt idx="41">
                  <c:v>0.1950037066219979</c:v>
                </c:pt>
                <c:pt idx="42">
                  <c:v>0.18523258813683968</c:v>
                </c:pt>
                <c:pt idx="43">
                  <c:v>0.17379309010321869</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8.5137690993983932E-3</c:v>
                </c:pt>
                <c:pt idx="20">
                  <c:v>1.8479445856455015E-2</c:v>
                </c:pt>
                <c:pt idx="21">
                  <c:v>6.2948437184000214E-2</c:v>
                </c:pt>
                <c:pt idx="22">
                  <c:v>0.12395945961680703</c:v>
                </c:pt>
                <c:pt idx="23">
                  <c:v>0.19755394729241421</c:v>
                </c:pt>
                <c:pt idx="24">
                  <c:v>0.24842807245256615</c:v>
                </c:pt>
                <c:pt idx="25">
                  <c:v>0.27238773701848246</c:v>
                </c:pt>
                <c:pt idx="26">
                  <c:v>0.2867377129998015</c:v>
                </c:pt>
                <c:pt idx="27">
                  <c:v>0.29145044984397311</c:v>
                </c:pt>
                <c:pt idx="28">
                  <c:v>0.29372598392735683</c:v>
                </c:pt>
                <c:pt idx="29">
                  <c:v>0.29929773971128482</c:v>
                </c:pt>
                <c:pt idx="30">
                  <c:v>0.30356437126832664</c:v>
                </c:pt>
                <c:pt idx="31">
                  <c:v>0.30684222269425909</c:v>
                </c:pt>
                <c:pt idx="32">
                  <c:v>0.31022392780274105</c:v>
                </c:pt>
                <c:pt idx="33">
                  <c:v>0.31395274260841327</c:v>
                </c:pt>
                <c:pt idx="34">
                  <c:v>0.31748002115331686</c:v>
                </c:pt>
                <c:pt idx="35">
                  <c:v>0.31971978571350879</c:v>
                </c:pt>
                <c:pt idx="36">
                  <c:v>0.31932396045740424</c:v>
                </c:pt>
                <c:pt idx="37">
                  <c:v>0.30470763300682996</c:v>
                </c:pt>
                <c:pt idx="38">
                  <c:v>0.27028234704392612</c:v>
                </c:pt>
                <c:pt idx="39">
                  <c:v>0.23527169917848906</c:v>
                </c:pt>
                <c:pt idx="40">
                  <c:v>0.2090112164780801</c:v>
                </c:pt>
                <c:pt idx="41">
                  <c:v>0.1923230625498164</c:v>
                </c:pt>
                <c:pt idx="42">
                  <c:v>0.18281295864771341</c:v>
                </c:pt>
                <c:pt idx="43">
                  <c:v>0.17164830223205413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2.3253322015991122E-3</c:v>
                </c:pt>
                <c:pt idx="39">
                  <c:v>1.5574413411713586E-2</c:v>
                </c:pt>
                <c:pt idx="40">
                  <c:v>3.3941299534452872E-2</c:v>
                </c:pt>
                <c:pt idx="41">
                  <c:v>4.7031558644078722E-2</c:v>
                </c:pt>
                <c:pt idx="42">
                  <c:v>5.646371323770024E-2</c:v>
                </c:pt>
                <c:pt idx="43">
                  <c:v>6.7763185275538609E-2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8.7231816708409425E-4</c:v>
                </c:pt>
                <c:pt idx="20">
                  <c:v>2.3204331616201053E-4</c:v>
                </c:pt>
                <c:pt idx="21">
                  <c:v>3.818682291621571E-3</c:v>
                </c:pt>
                <c:pt idx="22">
                  <c:v>1.3379134441160849E-3</c:v>
                </c:pt>
                <c:pt idx="23">
                  <c:v>5.3406631493728657E-4</c:v>
                </c:pt>
                <c:pt idx="24">
                  <c:v>6.725813511859692E-4</c:v>
                </c:pt>
                <c:pt idx="25">
                  <c:v>5.5993162492289509E-3</c:v>
                </c:pt>
                <c:pt idx="26">
                  <c:v>9.1447915349601311E-3</c:v>
                </c:pt>
                <c:pt idx="27">
                  <c:v>1.0893175372564401E-2</c:v>
                </c:pt>
                <c:pt idx="28">
                  <c:v>1.3115255059813816E-2</c:v>
                </c:pt>
                <c:pt idx="29">
                  <c:v>1.8706993456937587E-2</c:v>
                </c:pt>
                <c:pt idx="30">
                  <c:v>2.0927220334317834E-2</c:v>
                </c:pt>
                <c:pt idx="31">
                  <c:v>2.3556959482606245E-2</c:v>
                </c:pt>
                <c:pt idx="32">
                  <c:v>2.6561038683718948E-2</c:v>
                </c:pt>
                <c:pt idx="33">
                  <c:v>2.9105155748403066E-2</c:v>
                </c:pt>
                <c:pt idx="34">
                  <c:v>3.146384438916091E-2</c:v>
                </c:pt>
                <c:pt idx="35">
                  <c:v>3.3360883588703566E-2</c:v>
                </c:pt>
                <c:pt idx="36">
                  <c:v>3.4635212090787369E-2</c:v>
                </c:pt>
                <c:pt idx="37">
                  <c:v>3.4988537797693044E-2</c:v>
                </c:pt>
                <c:pt idx="38">
                  <c:v>3.4058552586686407E-2</c:v>
                </c:pt>
                <c:pt idx="39">
                  <c:v>3.2291202061345073E-2</c:v>
                </c:pt>
                <c:pt idx="40">
                  <c:v>3.0260987747270901E-2</c:v>
                </c:pt>
                <c:pt idx="41">
                  <c:v>2.8721826770659251E-2</c:v>
                </c:pt>
                <c:pt idx="42">
                  <c:v>2.7536736490811359E-2</c:v>
                </c:pt>
                <c:pt idx="43">
                  <c:v>2.5228730339239121E-2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1.4598597994581524E-3</c:v>
                </c:pt>
                <c:pt idx="20">
                  <c:v>5.6334727074190344E-3</c:v>
                </c:pt>
                <c:pt idx="21">
                  <c:v>9.883719083019887E-3</c:v>
                </c:pt>
                <c:pt idx="22">
                  <c:v>2.3256487089589606E-2</c:v>
                </c:pt>
                <c:pt idx="23">
                  <c:v>3.5411063768349522E-2</c:v>
                </c:pt>
                <c:pt idx="24">
                  <c:v>4.1580601131530691E-2</c:v>
                </c:pt>
                <c:pt idx="25">
                  <c:v>4.2590662863275848E-2</c:v>
                </c:pt>
                <c:pt idx="26">
                  <c:v>4.2027272742885945E-2</c:v>
                </c:pt>
                <c:pt idx="27">
                  <c:v>4.2444978339740876E-2</c:v>
                </c:pt>
                <c:pt idx="28">
                  <c:v>4.1646235654919178E-2</c:v>
                </c:pt>
                <c:pt idx="29">
                  <c:v>4.1080726874936281E-2</c:v>
                </c:pt>
                <c:pt idx="30">
                  <c:v>4.0576155233928358E-2</c:v>
                </c:pt>
                <c:pt idx="31">
                  <c:v>4.0251501809351983E-2</c:v>
                </c:pt>
                <c:pt idx="32">
                  <c:v>4.0935514956572078E-2</c:v>
                </c:pt>
                <c:pt idx="33">
                  <c:v>4.1843190455238231E-2</c:v>
                </c:pt>
                <c:pt idx="34">
                  <c:v>4.3218583916626994E-2</c:v>
                </c:pt>
                <c:pt idx="35">
                  <c:v>4.4479949134381275E-2</c:v>
                </c:pt>
                <c:pt idx="36">
                  <c:v>4.4644784306146545E-2</c:v>
                </c:pt>
                <c:pt idx="37">
                  <c:v>4.3580205730314001E-2</c:v>
                </c:pt>
                <c:pt idx="38">
                  <c:v>4.105961402718785E-2</c:v>
                </c:pt>
                <c:pt idx="39">
                  <c:v>3.8176266412477608E-2</c:v>
                </c:pt>
                <c:pt idx="40">
                  <c:v>3.492627451836379E-2</c:v>
                </c:pt>
                <c:pt idx="41">
                  <c:v>3.2656151571503866E-2</c:v>
                </c:pt>
                <c:pt idx="42">
                  <c:v>3.1132760845356825E-2</c:v>
                </c:pt>
                <c:pt idx="43">
                  <c:v>2.7891348968387603E-2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2.1336284359723867E-6</c:v>
                </c:pt>
                <c:pt idx="37">
                  <c:v>1.0830001157281643E-4</c:v>
                </c:pt>
                <c:pt idx="38">
                  <c:v>7.4058025402638588E-4</c:v>
                </c:pt>
                <c:pt idx="39">
                  <c:v>2.0411927976458546E-3</c:v>
                </c:pt>
                <c:pt idx="40">
                  <c:v>4.1713583440565619E-3</c:v>
                </c:pt>
                <c:pt idx="41">
                  <c:v>5.9744487341713204E-3</c:v>
                </c:pt>
                <c:pt idx="42">
                  <c:v>7.4619522140505897E-3</c:v>
                </c:pt>
                <c:pt idx="43">
                  <c:v>1.0883715767610739E-2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8.7346219053581614E-2</c:v>
                </c:pt>
                <c:pt idx="20">
                  <c:v>8.3812698972829239E-2</c:v>
                </c:pt>
                <c:pt idx="21">
                  <c:v>7.5974811155960387E-2</c:v>
                </c:pt>
                <c:pt idx="22">
                  <c:v>6.5080081980336962E-2</c:v>
                </c:pt>
                <c:pt idx="23">
                  <c:v>5.3716934940559811E-2</c:v>
                </c:pt>
                <c:pt idx="24">
                  <c:v>4.7383321141093032E-2</c:v>
                </c:pt>
                <c:pt idx="25">
                  <c:v>4.1415776966464118E-2</c:v>
                </c:pt>
                <c:pt idx="26">
                  <c:v>3.8371122542483871E-2</c:v>
                </c:pt>
                <c:pt idx="27">
                  <c:v>3.6124260533731106E-2</c:v>
                </c:pt>
                <c:pt idx="28">
                  <c:v>3.452357415939869E-2</c:v>
                </c:pt>
                <c:pt idx="29">
                  <c:v>2.9269602831247226E-2</c:v>
                </c:pt>
                <c:pt idx="30">
                  <c:v>2.7389532308389274E-2</c:v>
                </c:pt>
                <c:pt idx="31">
                  <c:v>2.4841330708371464E-2</c:v>
                </c:pt>
                <c:pt idx="32">
                  <c:v>2.0783777207874908E-2</c:v>
                </c:pt>
                <c:pt idx="33">
                  <c:v>1.6791697443113211E-2</c:v>
                </c:pt>
                <c:pt idx="34">
                  <c:v>1.211780831178213E-2</c:v>
                </c:pt>
                <c:pt idx="35">
                  <c:v>7.4273878043861364E-3</c:v>
                </c:pt>
                <c:pt idx="36">
                  <c:v>3.8062726928597117E-3</c:v>
                </c:pt>
                <c:pt idx="37">
                  <c:v>1.4630114788026704E-3</c:v>
                </c:pt>
                <c:pt idx="38">
                  <c:v>3.8173814986228719E-4</c:v>
                </c:pt>
                <c:pt idx="39">
                  <c:v>3.1626303187966078E-5</c:v>
                </c:pt>
                <c:pt idx="40">
                  <c:v>1.364175289788738E-5</c:v>
                </c:pt>
                <c:pt idx="41">
                  <c:v>5.0310758891032492E-6</c:v>
                </c:pt>
                <c:pt idx="42">
                  <c:v>1.4143406851534778E-6</c:v>
                </c:pt>
                <c:pt idx="43">
                  <c:v>1.3417634354829939E-6</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0.64792916417498414</c:v>
                </c:pt>
                <c:pt idx="20">
                  <c:v>0.63273478934693284</c:v>
                </c:pt>
                <c:pt idx="21">
                  <c:v>0.51764045672739234</c:v>
                </c:pt>
                <c:pt idx="22">
                  <c:v>0.37351713063247721</c:v>
                </c:pt>
                <c:pt idx="23">
                  <c:v>0.21340542732471146</c:v>
                </c:pt>
                <c:pt idx="24">
                  <c:v>0.10883941552593678</c:v>
                </c:pt>
                <c:pt idx="25">
                  <c:v>5.6680880575773265E-2</c:v>
                </c:pt>
                <c:pt idx="26">
                  <c:v>3.4914343620390809E-2</c:v>
                </c:pt>
                <c:pt idx="27">
                  <c:v>2.6591168305493625E-2</c:v>
                </c:pt>
                <c:pt idx="28">
                  <c:v>2.2191773310713824E-2</c:v>
                </c:pt>
                <c:pt idx="29">
                  <c:v>1.9110476283512319E-2</c:v>
                </c:pt>
                <c:pt idx="30">
                  <c:v>1.878492666881135E-2</c:v>
                </c:pt>
                <c:pt idx="31">
                  <c:v>1.871052508804371E-2</c:v>
                </c:pt>
                <c:pt idx="32">
                  <c:v>1.6868998374226625E-2</c:v>
                </c:pt>
                <c:pt idx="33">
                  <c:v>1.6683741332404342E-2</c:v>
                </c:pt>
                <c:pt idx="34">
                  <c:v>1.5688961597696633E-2</c:v>
                </c:pt>
                <c:pt idx="35">
                  <c:v>1.5970335970560589E-2</c:v>
                </c:pt>
                <c:pt idx="36">
                  <c:v>1.6439445341585628E-2</c:v>
                </c:pt>
                <c:pt idx="37">
                  <c:v>1.6826659548759552E-2</c:v>
                </c:pt>
                <c:pt idx="38">
                  <c:v>1.5522235806133659E-2</c:v>
                </c:pt>
                <c:pt idx="39">
                  <c:v>1.7386839178409812E-2</c:v>
                </c:pt>
                <c:pt idx="40">
                  <c:v>1.6161304132839199E-2</c:v>
                </c:pt>
                <c:pt idx="41">
                  <c:v>1.599141731501048E-2</c:v>
                </c:pt>
                <c:pt idx="42">
                  <c:v>1.611470566555543E-2</c:v>
                </c:pt>
                <c:pt idx="43">
                  <c:v>1.6320928245075951E-2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2.3869379844907926E-5</c:v>
                </c:pt>
                <c:pt idx="36">
                  <c:v>3.860811344135406E-3</c:v>
                </c:pt>
                <c:pt idx="37">
                  <c:v>2.7498898349714595E-2</c:v>
                </c:pt>
                <c:pt idx="38">
                  <c:v>7.3006661978636048E-2</c:v>
                </c:pt>
                <c:pt idx="39">
                  <c:v>0.10378360300049506</c:v>
                </c:pt>
                <c:pt idx="40">
                  <c:v>0.12155092476627929</c:v>
                </c:pt>
                <c:pt idx="41">
                  <c:v>0.13235003947230822</c:v>
                </c:pt>
                <c:pt idx="42">
                  <c:v>0.13786345903909078</c:v>
                </c:pt>
                <c:pt idx="43">
                  <c:v>0.14180342735063434</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6.3960903024696986E-6</c:v>
                </c:pt>
                <c:pt idx="36">
                  <c:v>9.9739328411716714E-4</c:v>
                </c:pt>
                <c:pt idx="37">
                  <c:v>8.1228587365921919E-3</c:v>
                </c:pt>
                <c:pt idx="38">
                  <c:v>3.1928713131209485E-2</c:v>
                </c:pt>
                <c:pt idx="39">
                  <c:v>5.7494783803716087E-2</c:v>
                </c:pt>
                <c:pt idx="40">
                  <c:v>7.5585262005145551E-2</c:v>
                </c:pt>
                <c:pt idx="41">
                  <c:v>8.572946313671484E-2</c:v>
                </c:pt>
                <c:pt idx="42">
                  <c:v>8.9941823013027014E-2</c:v>
                </c:pt>
                <c:pt idx="43">
                  <c:v>9.7100314533404786E-2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2.423443248592365E-8</c:v>
                </c:pt>
                <c:pt idx="25">
                  <c:v>4.6453208102721329E-7</c:v>
                </c:pt>
                <c:pt idx="26">
                  <c:v>6.2294243195756773E-6</c:v>
                </c:pt>
                <c:pt idx="27">
                  <c:v>2.1545924290549945E-5</c:v>
                </c:pt>
                <c:pt idx="28">
                  <c:v>6.3434527223804303E-5</c:v>
                </c:pt>
                <c:pt idx="29">
                  <c:v>1.7675770783116048E-4</c:v>
                </c:pt>
                <c:pt idx="30">
                  <c:v>2.7397589259794459E-4</c:v>
                </c:pt>
                <c:pt idx="31">
                  <c:v>4.3227897338700785E-4</c:v>
                </c:pt>
                <c:pt idx="32">
                  <c:v>6.4240400461961606E-4</c:v>
                </c:pt>
                <c:pt idx="33">
                  <c:v>9.5446458637491111E-4</c:v>
                </c:pt>
                <c:pt idx="34">
                  <c:v>1.4794648606968165E-3</c:v>
                </c:pt>
                <c:pt idx="35">
                  <c:v>2.3135502088420063E-3</c:v>
                </c:pt>
                <c:pt idx="36">
                  <c:v>3.3951387686320346E-3</c:v>
                </c:pt>
                <c:pt idx="37">
                  <c:v>4.7796515345779082E-3</c:v>
                </c:pt>
                <c:pt idx="38">
                  <c:v>6.5111144946803012E-3</c:v>
                </c:pt>
                <c:pt idx="39">
                  <c:v>8.2109556949704829E-3</c:v>
                </c:pt>
                <c:pt idx="40">
                  <c:v>9.8604981668407206E-3</c:v>
                </c:pt>
                <c:pt idx="41">
                  <c:v>1.1079938878010082E-2</c:v>
                </c:pt>
                <c:pt idx="42">
                  <c:v>1.1896117046194588E-2</c:v>
                </c:pt>
                <c:pt idx="43">
                  <c:v>1.3184511925298273E-2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1.0267454444598974E-8</c:v>
                </c:pt>
                <c:pt idx="20">
                  <c:v>1.9229116802265645E-7</c:v>
                </c:pt>
                <c:pt idx="21">
                  <c:v>1.1947569764661063E-6</c:v>
                </c:pt>
                <c:pt idx="22">
                  <c:v>3.9247735356569049E-6</c:v>
                </c:pt>
                <c:pt idx="23">
                  <c:v>1.6342263731685203E-5</c:v>
                </c:pt>
                <c:pt idx="24">
                  <c:v>4.1879429336129897E-5</c:v>
                </c:pt>
                <c:pt idx="25">
                  <c:v>7.2186676528374977E-5</c:v>
                </c:pt>
                <c:pt idx="26">
                  <c:v>1.289910429287831E-4</c:v>
                </c:pt>
                <c:pt idx="27">
                  <c:v>1.9444711725137467E-4</c:v>
                </c:pt>
                <c:pt idx="28">
                  <c:v>3.2990788622283708E-4</c:v>
                </c:pt>
                <c:pt idx="29">
                  <c:v>4.4432641662604685E-4</c:v>
                </c:pt>
                <c:pt idx="30">
                  <c:v>5.1152351834490633E-4</c:v>
                </c:pt>
                <c:pt idx="31">
                  <c:v>5.963363138616186E-4</c:v>
                </c:pt>
                <c:pt idx="32">
                  <c:v>7.5567243479275886E-4</c:v>
                </c:pt>
                <c:pt idx="33">
                  <c:v>9.8389905444890447E-4</c:v>
                </c:pt>
                <c:pt idx="34">
                  <c:v>1.3987058093114504E-3</c:v>
                </c:pt>
                <c:pt idx="35">
                  <c:v>2.096636551265321E-3</c:v>
                </c:pt>
                <c:pt idx="36">
                  <c:v>3.1948658007166799E-3</c:v>
                </c:pt>
                <c:pt idx="37">
                  <c:v>4.7587007346178746E-3</c:v>
                </c:pt>
                <c:pt idx="38">
                  <c:v>6.926807775135083E-3</c:v>
                </c:pt>
                <c:pt idx="39">
                  <c:v>8.9271640179513275E-3</c:v>
                </c:pt>
                <c:pt idx="40">
                  <c:v>1.0445646758148448E-2</c:v>
                </c:pt>
                <c:pt idx="41">
                  <c:v>1.1241010257344685E-2</c:v>
                </c:pt>
                <c:pt idx="42">
                  <c:v>1.1649426350479787E-2</c:v>
                </c:pt>
                <c:pt idx="43">
                  <c:v>1.2488758523607089E-2</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0.23090883114973143</c:v>
                </c:pt>
                <c:pt idx="20">
                  <c:v>0.23133951758129698</c:v>
                </c:pt>
                <c:pt idx="21">
                  <c:v>0.23277227481887469</c:v>
                </c:pt>
                <c:pt idx="22">
                  <c:v>0.23468943628979816</c:v>
                </c:pt>
                <c:pt idx="23">
                  <c:v>0.23756506458612597</c:v>
                </c:pt>
                <c:pt idx="24">
                  <c:v>0.24101564407149986</c:v>
                </c:pt>
                <c:pt idx="25">
                  <c:v>0.26728093706781952</c:v>
                </c:pt>
                <c:pt idx="26">
                  <c:v>0.25827173123304648</c:v>
                </c:pt>
                <c:pt idx="27">
                  <c:v>0.27596483012060047</c:v>
                </c:pt>
                <c:pt idx="28">
                  <c:v>0.29786569223864096</c:v>
                </c:pt>
                <c:pt idx="29">
                  <c:v>0.31685750529080692</c:v>
                </c:pt>
                <c:pt idx="30">
                  <c:v>0.31840027429358503</c:v>
                </c:pt>
                <c:pt idx="31">
                  <c:v>0.31811370654370197</c:v>
                </c:pt>
                <c:pt idx="32">
                  <c:v>0.28028902158525287</c:v>
                </c:pt>
                <c:pt idx="33">
                  <c:v>0.28477869646513215</c:v>
                </c:pt>
                <c:pt idx="34">
                  <c:v>0.28700776414754503</c:v>
                </c:pt>
                <c:pt idx="35">
                  <c:v>0.28081986114465368</c:v>
                </c:pt>
                <c:pt idx="36">
                  <c:v>0.27934534207749279</c:v>
                </c:pt>
                <c:pt idx="37">
                  <c:v>0.27962708033570427</c:v>
                </c:pt>
                <c:pt idx="38">
                  <c:v>0.30851587135924635</c:v>
                </c:pt>
                <c:pt idx="39">
                  <c:v>0.2802608951128136</c:v>
                </c:pt>
                <c:pt idx="40">
                  <c:v>0.30535273980675692</c:v>
                </c:pt>
                <c:pt idx="41">
                  <c:v>0.28894403098247096</c:v>
                </c:pt>
                <c:pt idx="42">
                  <c:v>0.28848500635660385</c:v>
                </c:pt>
                <c:pt idx="43">
                  <c:v>0.28773270428215125</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0.61422183447833545</c:v>
                </c:pt>
                <c:pt idx="20">
                  <c:v>0.6137681704322705</c:v>
                </c:pt>
                <c:pt idx="21">
                  <c:v>0.61290196947534525</c:v>
                </c:pt>
                <c:pt idx="22">
                  <c:v>0.61074725031347854</c:v>
                </c:pt>
                <c:pt idx="23">
                  <c:v>0.60525891436052837</c:v>
                </c:pt>
                <c:pt idx="24">
                  <c:v>0.60448530077126639</c:v>
                </c:pt>
                <c:pt idx="25">
                  <c:v>0.60053864377588484</c:v>
                </c:pt>
                <c:pt idx="26">
                  <c:v>0.59744389103903783</c:v>
                </c:pt>
                <c:pt idx="27">
                  <c:v>0.60200810768592983</c:v>
                </c:pt>
                <c:pt idx="28">
                  <c:v>0.59679920801785624</c:v>
                </c:pt>
                <c:pt idx="29">
                  <c:v>0.60194219886230194</c:v>
                </c:pt>
                <c:pt idx="30">
                  <c:v>0.60040027053526013</c:v>
                </c:pt>
                <c:pt idx="31">
                  <c:v>0.59289402422948168</c:v>
                </c:pt>
                <c:pt idx="32">
                  <c:v>0.60242387920323004</c:v>
                </c:pt>
                <c:pt idx="33">
                  <c:v>0.59930540855957104</c:v>
                </c:pt>
                <c:pt idx="34">
                  <c:v>0.59810896512694145</c:v>
                </c:pt>
                <c:pt idx="35">
                  <c:v>0.59785764142711495</c:v>
                </c:pt>
                <c:pt idx="36">
                  <c:v>0.60369459945884107</c:v>
                </c:pt>
                <c:pt idx="37">
                  <c:v>0.59392999394420876</c:v>
                </c:pt>
                <c:pt idx="38">
                  <c:v>0.59840614633867406</c:v>
                </c:pt>
                <c:pt idx="39">
                  <c:v>0.601577044546865</c:v>
                </c:pt>
                <c:pt idx="40">
                  <c:v>0.6014303315130678</c:v>
                </c:pt>
                <c:pt idx="41">
                  <c:v>0.60502745331788099</c:v>
                </c:pt>
                <c:pt idx="42">
                  <c:v>0.59975079061702552</c:v>
                </c:pt>
                <c:pt idx="43">
                  <c:v>0.60109078622279932</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0.39925082996565531</c:v>
                </c:pt>
                <c:pt idx="20">
                  <c:v>0.39911400042813516</c:v>
                </c:pt>
                <c:pt idx="21">
                  <c:v>0.39856841996926401</c:v>
                </c:pt>
                <c:pt idx="22">
                  <c:v>0.3981737266386437</c:v>
                </c:pt>
                <c:pt idx="23">
                  <c:v>0.39728757025147565</c:v>
                </c:pt>
                <c:pt idx="24">
                  <c:v>0.39539241832109784</c:v>
                </c:pt>
                <c:pt idx="25">
                  <c:v>0.39798269005736664</c:v>
                </c:pt>
                <c:pt idx="26">
                  <c:v>0.39611523147155503</c:v>
                </c:pt>
                <c:pt idx="27">
                  <c:v>0.3958162081313224</c:v>
                </c:pt>
                <c:pt idx="28">
                  <c:v>0.39609733113522066</c:v>
                </c:pt>
                <c:pt idx="29">
                  <c:v>0.39615094574578047</c:v>
                </c:pt>
                <c:pt idx="30">
                  <c:v>0.39485725864524396</c:v>
                </c:pt>
                <c:pt idx="31">
                  <c:v>0.38510234619623357</c:v>
                </c:pt>
                <c:pt idx="32">
                  <c:v>0.38246944560540191</c:v>
                </c:pt>
                <c:pt idx="33">
                  <c:v>0.38124047334255962</c:v>
                </c:pt>
                <c:pt idx="34">
                  <c:v>0.37872149464427241</c:v>
                </c:pt>
                <c:pt idx="35">
                  <c:v>0.37116995811035253</c:v>
                </c:pt>
                <c:pt idx="36">
                  <c:v>0.35965003301135057</c:v>
                </c:pt>
                <c:pt idx="37">
                  <c:v>0.39373254860784412</c:v>
                </c:pt>
                <c:pt idx="38">
                  <c:v>0.26650420646085804</c:v>
                </c:pt>
                <c:pt idx="39">
                  <c:v>0.39932829612758242</c:v>
                </c:pt>
                <c:pt idx="40">
                  <c:v>0.39932829612758824</c:v>
                </c:pt>
                <c:pt idx="41">
                  <c:v>0.3993282961288992</c:v>
                </c:pt>
                <c:pt idx="42">
                  <c:v>0.39932829613678172</c:v>
                </c:pt>
                <c:pt idx="43">
                  <c:v>0.39932829613280391</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1.0014797683724226</c:v>
                </c:pt>
                <c:pt idx="11">
                  <c:v>1.0028959567629439</c:v>
                </c:pt>
                <c:pt idx="12">
                  <c:v>1.0156799945029504</c:v>
                </c:pt>
                <c:pt idx="13">
                  <c:v>1.035491294530934</c:v>
                </c:pt>
                <c:pt idx="14">
                  <c:v>1.0682112936233545</c:v>
                </c:pt>
                <c:pt idx="15">
                  <c:v>1.0971936178165507</c:v>
                </c:pt>
                <c:pt idx="16">
                  <c:v>1.1147631580034556</c:v>
                </c:pt>
                <c:pt idx="17">
                  <c:v>1.1258087257886011</c:v>
                </c:pt>
                <c:pt idx="18">
                  <c:v>1.1293935840057987</c:v>
                </c:pt>
                <c:pt idx="19">
                  <c:v>1.1321184198525396</c:v>
                </c:pt>
                <c:pt idx="20">
                  <c:v>1.1437223685911884</c:v>
                </c:pt>
                <c:pt idx="21">
                  <c:v>1.1502388217266912</c:v>
                </c:pt>
                <c:pt idx="22">
                  <c:v>1.1615252764486945</c:v>
                </c:pt>
                <c:pt idx="23">
                  <c:v>1.1793484749595871</c:v>
                </c:pt>
                <c:pt idx="24">
                  <c:v>1.2046624570047744</c:v>
                </c:pt>
                <c:pt idx="25">
                  <c:v>1.2380553265569827</c:v>
                </c:pt>
                <c:pt idx="26">
                  <c:v>1.2770236326324464</c:v>
                </c:pt>
                <c:pt idx="27">
                  <c:v>1.3199588366007928</c:v>
                </c:pt>
                <c:pt idx="28">
                  <c:v>1.3714047488909276</c:v>
                </c:pt>
                <c:pt idx="29">
                  <c:v>1.4433796720937611</c:v>
                </c:pt>
                <c:pt idx="30">
                  <c:v>1.5175631879906477</c:v>
                </c:pt>
                <c:pt idx="31">
                  <c:v>1.586205921493602</c:v>
                </c:pt>
                <c:pt idx="32">
                  <c:v>1.6332767173369771</c:v>
                </c:pt>
                <c:pt idx="33">
                  <c:v>1.6628578694750007</c:v>
                </c:pt>
                <c:pt idx="34">
                  <c:v>1.703944035631006</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1.0036066200396037</c:v>
                </c:pt>
                <c:pt idx="11">
                  <c:v>1.0066921740300356</c:v>
                </c:pt>
                <c:pt idx="12">
                  <c:v>1.0224073892555603</c:v>
                </c:pt>
                <c:pt idx="13">
                  <c:v>1.0527856795507793</c:v>
                </c:pt>
                <c:pt idx="14">
                  <c:v>1.1031271951108608</c:v>
                </c:pt>
                <c:pt idx="15">
                  <c:v>1.1581516814140835</c:v>
                </c:pt>
                <c:pt idx="16">
                  <c:v>1.1974892292712265</c:v>
                </c:pt>
                <c:pt idx="17">
                  <c:v>1.2216668806216477</c:v>
                </c:pt>
                <c:pt idx="18">
                  <c:v>1.2319017714734994</c:v>
                </c:pt>
                <c:pt idx="19">
                  <c:v>1.2435216517833283</c:v>
                </c:pt>
                <c:pt idx="20">
                  <c:v>1.2553683730415308</c:v>
                </c:pt>
                <c:pt idx="21">
                  <c:v>1.2628309050554594</c:v>
                </c:pt>
                <c:pt idx="22">
                  <c:v>1.2757096653900382</c:v>
                </c:pt>
                <c:pt idx="23">
                  <c:v>1.2936204699990115</c:v>
                </c:pt>
                <c:pt idx="24">
                  <c:v>1.3154868593911253</c:v>
                </c:pt>
                <c:pt idx="25">
                  <c:v>1.3465553530060836</c:v>
                </c:pt>
                <c:pt idx="26">
                  <c:v>1.3907305060374029</c:v>
                </c:pt>
                <c:pt idx="27">
                  <c:v>1.4382703627195088</c:v>
                </c:pt>
                <c:pt idx="28">
                  <c:v>1.4911211218877318</c:v>
                </c:pt>
                <c:pt idx="29">
                  <c:v>1.5445137186739391</c:v>
                </c:pt>
                <c:pt idx="30">
                  <c:v>1.5839314723449449</c:v>
                </c:pt>
                <c:pt idx="31">
                  <c:v>1.6158084525371748</c:v>
                </c:pt>
                <c:pt idx="32">
                  <c:v>1.638323539018272</c:v>
                </c:pt>
                <c:pt idx="33">
                  <c:v>1.657284038490469</c:v>
                </c:pt>
                <c:pt idx="34">
                  <c:v>1.6788220235461204</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1.0037059338699261</c:v>
                </c:pt>
                <c:pt idx="11">
                  <c:v>1.0141514470142476</c:v>
                </c:pt>
                <c:pt idx="12">
                  <c:v>1.0271623192733352</c:v>
                </c:pt>
                <c:pt idx="13">
                  <c:v>1.0625728152021763</c:v>
                </c:pt>
                <c:pt idx="14">
                  <c:v>1.0976638229390481</c:v>
                </c:pt>
                <c:pt idx="15">
                  <c:v>1.1176585273202042</c:v>
                </c:pt>
                <c:pt idx="16">
                  <c:v>1.1310223422920513</c:v>
                </c:pt>
                <c:pt idx="17">
                  <c:v>1.1385268277641325</c:v>
                </c:pt>
                <c:pt idx="18">
                  <c:v>1.1468440773532844</c:v>
                </c:pt>
                <c:pt idx="19">
                  <c:v>1.1557236787541396</c:v>
                </c:pt>
                <c:pt idx="20">
                  <c:v>1.1726516726367615</c:v>
                </c:pt>
                <c:pt idx="21">
                  <c:v>1.1799367661360718</c:v>
                </c:pt>
                <c:pt idx="22">
                  <c:v>1.1919065838598935</c:v>
                </c:pt>
                <c:pt idx="23">
                  <c:v>1.2140942325960449</c:v>
                </c:pt>
                <c:pt idx="24">
                  <c:v>1.2435022938715159</c:v>
                </c:pt>
                <c:pt idx="25">
                  <c:v>1.2855822992127541</c:v>
                </c:pt>
                <c:pt idx="26">
                  <c:v>1.3399806082085588</c:v>
                </c:pt>
                <c:pt idx="27">
                  <c:v>1.4001876356205578</c:v>
                </c:pt>
                <c:pt idx="28">
                  <c:v>1.465041747223915</c:v>
                </c:pt>
                <c:pt idx="29">
                  <c:v>1.5399737733842629</c:v>
                </c:pt>
                <c:pt idx="30">
                  <c:v>1.6183654371598579</c:v>
                </c:pt>
                <c:pt idx="31">
                  <c:v>1.6987602712946861</c:v>
                </c:pt>
                <c:pt idx="32">
                  <c:v>1.761294459871495</c:v>
                </c:pt>
                <c:pt idx="33">
                  <c:v>1.808378089801884</c:v>
                </c:pt>
                <c:pt idx="34">
                  <c:v>1.9152592059582125</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6.3438804932677693</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7.9546935694429397</c:v>
                </c:pt>
                <c:pt idx="7">
                  <c:v>8.1350608889763372</c:v>
                </c:pt>
                <c:pt idx="8">
                  <c:v>8.4707551961052641</c:v>
                </c:pt>
                <c:pt idx="9">
                  <c:v>8.7231319211479725</c:v>
                </c:pt>
                <c:pt idx="10">
                  <c:v>9.0375134565067832</c:v>
                </c:pt>
                <c:pt idx="11">
                  <c:v>9.3346782066082223</c:v>
                </c:pt>
                <c:pt idx="12">
                  <c:v>9.550673713414314</c:v>
                </c:pt>
                <c:pt idx="13">
                  <c:v>9.6795309476099831</c:v>
                </c:pt>
                <c:pt idx="14">
                  <c:v>9.7475431084267541</c:v>
                </c:pt>
                <c:pt idx="15">
                  <c:v>9.8112798247637887</c:v>
                </c:pt>
                <c:pt idx="16">
                  <c:v>9.9011783319216775</c:v>
                </c:pt>
                <c:pt idx="17">
                  <c:v>9.9559932079334441</c:v>
                </c:pt>
                <c:pt idx="18">
                  <c:v>10.040920578725064</c:v>
                </c:pt>
                <c:pt idx="19">
                  <c:v>10.167838408640739</c:v>
                </c:pt>
                <c:pt idx="20">
                  <c:v>10.347633414595022</c:v>
                </c:pt>
                <c:pt idx="21">
                  <c:v>10.583949555906539</c:v>
                </c:pt>
                <c:pt idx="22">
                  <c:v>10.865739003375166</c:v>
                </c:pt>
                <c:pt idx="23">
                  <c:v>11.165232210960475</c:v>
                </c:pt>
                <c:pt idx="24">
                  <c:v>11.447021658429103</c:v>
                </c:pt>
                <c:pt idx="25">
                  <c:v>11.68333779974062</c:v>
                </c:pt>
                <c:pt idx="26">
                  <c:v>11.863132805694901</c:v>
                </c:pt>
                <c:pt idx="27">
                  <c:v>11.990050635610579</c:v>
                </c:pt>
                <c:pt idx="28">
                  <c:v>12.074978006402196</c:v>
                </c:pt>
                <c:pt idx="29">
                  <c:v>12.129792882413961</c:v>
                </c:pt>
                <c:pt idx="30">
                  <c:v>12.219691389571851</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8.4653139534090478</c:v>
                </c:pt>
                <c:pt idx="7">
                  <c:v>8.6624854386193988</c:v>
                </c:pt>
                <c:pt idx="8">
                  <c:v>9.0407541203879589</c:v>
                </c:pt>
                <c:pt idx="9">
                  <c:v>9.3251384815868708</c:v>
                </c:pt>
                <c:pt idx="10">
                  <c:v>9.6793914028521701</c:v>
                </c:pt>
                <c:pt idx="11">
                  <c:v>10.014244022934831</c:v>
                </c:pt>
                <c:pt idx="12">
                  <c:v>10.257633123948372</c:v>
                </c:pt>
                <c:pt idx="13">
                  <c:v>10.402832655428119</c:v>
                </c:pt>
                <c:pt idx="14">
                  <c:v>10.479470447222754</c:v>
                </c:pt>
                <c:pt idx="15">
                  <c:v>10.551290562002974</c:v>
                </c:pt>
                <c:pt idx="16">
                  <c:v>10.700057377334481</c:v>
                </c:pt>
                <c:pt idx="17">
                  <c:v>10.790766720513449</c:v>
                </c:pt>
                <c:pt idx="18">
                  <c:v>10.931307146451308</c:v>
                </c:pt>
                <c:pt idx="19">
                  <c:v>11.141334675965002</c:v>
                </c:pt>
                <c:pt idx="20">
                  <c:v>11.43886498312963</c:v>
                </c:pt>
                <c:pt idx="21">
                  <c:v>11.82992820393039</c:v>
                </c:pt>
                <c:pt idx="22">
                  <c:v>12.296242050725494</c:v>
                </c:pt>
                <c:pt idx="23">
                  <c:v>12.791852624409804</c:v>
                </c:pt>
                <c:pt idx="24">
                  <c:v>13.258166471204905</c:v>
                </c:pt>
                <c:pt idx="25">
                  <c:v>13.649229692005665</c:v>
                </c:pt>
                <c:pt idx="26">
                  <c:v>13.946759999170293</c:v>
                </c:pt>
                <c:pt idx="27">
                  <c:v>14.156787528683989</c:v>
                </c:pt>
                <c:pt idx="28">
                  <c:v>14.297327954621846</c:v>
                </c:pt>
                <c:pt idx="29">
                  <c:v>14.388037297800814</c:v>
                </c:pt>
                <c:pt idx="30">
                  <c:v>14.536804113132318</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23.607899154126081</c:v>
                </c:pt>
                <c:pt idx="25">
                  <c:v>24.298638994937054</c:v>
                </c:pt>
                <c:pt idx="26">
                  <c:v>24.824170484670383</c:v>
                </c:pt>
                <c:pt idx="27">
                  <c:v>25.195144727671686</c:v>
                </c:pt>
                <c:pt idx="28">
                  <c:v>25.443383033593271</c:v>
                </c:pt>
                <c:pt idx="29">
                  <c:v>25.603604076981629</c:v>
                </c:pt>
                <c:pt idx="30">
                  <c:v>25.866372757016599</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12.872126082389528</c:v>
                </c:pt>
                <c:pt idx="20">
                  <c:v>13.256042984726385</c:v>
                </c:pt>
                <c:pt idx="21">
                  <c:v>13.760649664222166</c:v>
                </c:pt>
                <c:pt idx="22">
                  <c:v>14.362355652712619</c:v>
                </c:pt>
                <c:pt idx="23">
                  <c:v>15.00186454183225</c:v>
                </c:pt>
                <c:pt idx="24">
                  <c:v>15.603570530322699</c:v>
                </c:pt>
                <c:pt idx="25">
                  <c:v>16.108177209818482</c:v>
                </c:pt>
                <c:pt idx="26">
                  <c:v>16.492094112155339</c:v>
                </c:pt>
                <c:pt idx="27">
                  <c:v>16.763102196356137</c:v>
                </c:pt>
                <c:pt idx="28">
                  <c:v>16.944447906960708</c:v>
                </c:pt>
                <c:pt idx="29">
                  <c:v>17.061494302597339</c:v>
                </c:pt>
                <c:pt idx="30">
                  <c:v>17.253454897996413</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PHEV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10.191925657122136</c:v>
                </c:pt>
                <c:pt idx="13">
                  <c:v>10.316253081620546</c:v>
                </c:pt>
                <c:pt idx="14">
                  <c:v>10.382034527352671</c:v>
                </c:pt>
                <c:pt idx="15">
                  <c:v>10.446828593928803</c:v>
                </c:pt>
                <c:pt idx="16">
                  <c:v>10.630147746877906</c:v>
                </c:pt>
                <c:pt idx="17">
                  <c:v>10.742975047058202</c:v>
                </c:pt>
                <c:pt idx="18">
                  <c:v>10.92477532045339</c:v>
                </c:pt>
                <c:pt idx="19">
                  <c:v>11.201340098671983</c:v>
                </c:pt>
                <c:pt idx="20">
                  <c:v>11.618922070468454</c:v>
                </c:pt>
                <c:pt idx="21">
                  <c:v>12.218343594125198</c:v>
                </c:pt>
                <c:pt idx="22">
                  <c:v>12.996923002491954</c:v>
                </c:pt>
                <c:pt idx="23">
                  <c:v>13.885469268989347</c:v>
                </c:pt>
                <c:pt idx="24">
                  <c:v>14.801826483142273</c:v>
                </c:pt>
                <c:pt idx="25">
                  <c:v>15.591429516880869</c:v>
                </c:pt>
                <c:pt idx="26">
                  <c:v>16.183132796184225</c:v>
                </c:pt>
                <c:pt idx="27">
                  <c:v>16.584547608552654</c:v>
                </c:pt>
                <c:pt idx="28">
                  <c:v>16.837204679423241</c:v>
                </c:pt>
                <c:pt idx="29">
                  <c:v>17.004167749503356</c:v>
                </c:pt>
                <c:pt idx="30">
                  <c:v>17.265952601958073</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dPt>
            <c:idx val="5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3907-45F1-98B7-7EFF38122E4A}"/>
              </c:ext>
            </c:extLst>
          </c:dPt>
          <c:dLbls>
            <c:dLbl>
              <c:idx val="50"/>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907-45F1-98B7-7EFF38122E4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Fuel</a:t>
                </a:r>
                <a:r>
                  <a:rPr lang="en-US" sz="1100" baseline="0"/>
                  <a:t> availability</a:t>
                </a:r>
                <a:endParaRPr lang="en-US" sz="1100"/>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of Total Vehicle Miles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'Market Data'!$F$6</c:f>
              <c:strCache>
                <c:ptCount val="1"/>
                <c:pt idx="0">
                  <c:v>Central </c:v>
                </c:pt>
              </c:strCache>
            </c:strRef>
          </c:tx>
          <c:spPr>
            <a:solidFill>
              <a:schemeClr val="accent1"/>
            </a:solidFill>
            <a:ln>
              <a:noFill/>
            </a:ln>
            <a:effectLst/>
          </c:spPr>
          <c:invertIfNegative val="0"/>
          <c:cat>
            <c:numRef>
              <c:f>'Market Data'!$A$7:$A$48</c:f>
              <c:numCache>
                <c:formatCode>General</c:formatCode>
                <c:ptCount val="42"/>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212.5</c:v>
                </c:pt>
              </c:numCache>
            </c:numRef>
          </c:cat>
          <c:val>
            <c:numRef>
              <c:f>'Market Data'!$F$7:$F$48</c:f>
              <c:numCache>
                <c:formatCode>0.0%</c:formatCode>
                <c:ptCount val="42"/>
                <c:pt idx="0">
                  <c:v>0</c:v>
                </c:pt>
                <c:pt idx="1">
                  <c:v>2.3138277348745797E-3</c:v>
                </c:pt>
                <c:pt idx="2">
                  <c:v>3.1102361543669842E-3</c:v>
                </c:pt>
                <c:pt idx="3">
                  <c:v>2.5220030297615059E-3</c:v>
                </c:pt>
                <c:pt idx="4">
                  <c:v>2.5925460938923351E-3</c:v>
                </c:pt>
                <c:pt idx="5">
                  <c:v>5.3896105000544089E-4</c:v>
                </c:pt>
                <c:pt idx="6">
                  <c:v>6.5484286530651599E-4</c:v>
                </c:pt>
                <c:pt idx="7">
                  <c:v>1.1751701310164081E-3</c:v>
                </c:pt>
                <c:pt idx="8">
                  <c:v>2.8672477195237321E-3</c:v>
                </c:pt>
                <c:pt idx="9">
                  <c:v>1.3930057494809459E-3</c:v>
                </c:pt>
                <c:pt idx="10">
                  <c:v>2.1354805657575523E-3</c:v>
                </c:pt>
                <c:pt idx="11">
                  <c:v>2.885865547131947E-3</c:v>
                </c:pt>
                <c:pt idx="12">
                  <c:v>1.6730869546584981E-3</c:v>
                </c:pt>
                <c:pt idx="13">
                  <c:v>7.7110648061744719E-3</c:v>
                </c:pt>
                <c:pt idx="14">
                  <c:v>1.0558653886892925E-2</c:v>
                </c:pt>
                <c:pt idx="15">
                  <c:v>1.0890707473351156E-2</c:v>
                </c:pt>
                <c:pt idx="16">
                  <c:v>9.2893654115019236E-3</c:v>
                </c:pt>
                <c:pt idx="17">
                  <c:v>9.1178933987173683E-3</c:v>
                </c:pt>
                <c:pt idx="18">
                  <c:v>1.0332042815694284E-2</c:v>
                </c:pt>
                <c:pt idx="19">
                  <c:v>1.4530000652012019E-2</c:v>
                </c:pt>
                <c:pt idx="20">
                  <c:v>6.858030455129293E-3</c:v>
                </c:pt>
                <c:pt idx="21">
                  <c:v>3.7643392096240033E-3</c:v>
                </c:pt>
                <c:pt idx="22">
                  <c:v>1.0052777577483083E-2</c:v>
                </c:pt>
                <c:pt idx="23">
                  <c:v>7.4697880887006369E-3</c:v>
                </c:pt>
                <c:pt idx="24">
                  <c:v>4.0898316963688175E-2</c:v>
                </c:pt>
                <c:pt idx="25">
                  <c:v>1.1429680853524088E-2</c:v>
                </c:pt>
                <c:pt idx="26">
                  <c:v>1.4055920943346895E-2</c:v>
                </c:pt>
                <c:pt idx="27">
                  <c:v>2.6064110045845514E-3</c:v>
                </c:pt>
                <c:pt idx="28">
                  <c:v>6.9497313613715887E-3</c:v>
                </c:pt>
                <c:pt idx="29">
                  <c:v>8.2804654131965246E-3</c:v>
                </c:pt>
                <c:pt idx="30">
                  <c:v>5.2448260468492677E-3</c:v>
                </c:pt>
                <c:pt idx="31">
                  <c:v>4.4511621775796791E-3</c:v>
                </c:pt>
                <c:pt idx="32">
                  <c:v>2.466630423469052E-3</c:v>
                </c:pt>
                <c:pt idx="33">
                  <c:v>8.6384935854316432E-4</c:v>
                </c:pt>
                <c:pt idx="34">
                  <c:v>2.3746169112156558E-3</c:v>
                </c:pt>
                <c:pt idx="35">
                  <c:v>2.1839272444396291E-3</c:v>
                </c:pt>
                <c:pt idx="36">
                  <c:v>4.5813099966684226E-4</c:v>
                </c:pt>
                <c:pt idx="37">
                  <c:v>5.7873091729334595E-4</c:v>
                </c:pt>
                <c:pt idx="38">
                  <c:v>2.1284451172476921E-3</c:v>
                </c:pt>
                <c:pt idx="39">
                  <c:v>4.3930355921127981E-4</c:v>
                </c:pt>
                <c:pt idx="40">
                  <c:v>7.5162351043371062E-3</c:v>
                </c:pt>
                <c:pt idx="41">
                  <c:v>0</c:v>
                </c:pt>
              </c:numCache>
            </c:numRef>
          </c:val>
          <c:extLst>
            <c:ext xmlns:c16="http://schemas.microsoft.com/office/drawing/2014/chart" uri="{C3380CC4-5D6E-409C-BE32-E72D297353CC}">
              <c16:uniqueId val="{00000000-36D0-4D42-85CC-97B2B92C19E5}"/>
            </c:ext>
          </c:extLst>
        </c:ser>
        <c:ser>
          <c:idx val="1"/>
          <c:order val="1"/>
          <c:tx>
            <c:strRef>
              <c:f>'Market Data'!$H$6</c:f>
              <c:strCache>
                <c:ptCount val="1"/>
                <c:pt idx="0">
                  <c:v>Non-Central</c:v>
                </c:pt>
              </c:strCache>
            </c:strRef>
          </c:tx>
          <c:spPr>
            <a:solidFill>
              <a:schemeClr val="accent2"/>
            </a:solidFill>
            <a:ln>
              <a:noFill/>
            </a:ln>
            <a:effectLst/>
          </c:spPr>
          <c:invertIfNegative val="0"/>
          <c:cat>
            <c:numRef>
              <c:f>'Market Data'!$A$7:$A$48</c:f>
              <c:numCache>
                <c:formatCode>General</c:formatCode>
                <c:ptCount val="42"/>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212.5</c:v>
                </c:pt>
              </c:numCache>
            </c:numRef>
          </c:cat>
          <c:val>
            <c:numRef>
              <c:f>'Market Data'!$H$7:$H$48</c:f>
              <c:numCache>
                <c:formatCode>0.0%</c:formatCode>
                <c:ptCount val="42"/>
                <c:pt idx="0">
                  <c:v>5.6718335278556332E-4</c:v>
                </c:pt>
                <c:pt idx="1">
                  <c:v>3.9948553173976093E-3</c:v>
                </c:pt>
                <c:pt idx="2">
                  <c:v>5.2917916548244227E-3</c:v>
                </c:pt>
                <c:pt idx="3">
                  <c:v>3.109851743262837E-3</c:v>
                </c:pt>
                <c:pt idx="4">
                  <c:v>9.865206717778437E-3</c:v>
                </c:pt>
                <c:pt idx="5">
                  <c:v>5.1879382805632979E-3</c:v>
                </c:pt>
                <c:pt idx="6">
                  <c:v>5.6449160469177005E-3</c:v>
                </c:pt>
                <c:pt idx="7">
                  <c:v>3.1390807679534428E-3</c:v>
                </c:pt>
                <c:pt idx="8">
                  <c:v>2.3109997746952036E-3</c:v>
                </c:pt>
                <c:pt idx="9">
                  <c:v>7.2869106709864346E-3</c:v>
                </c:pt>
                <c:pt idx="10">
                  <c:v>4.7424573074387726E-3</c:v>
                </c:pt>
                <c:pt idx="11">
                  <c:v>1.1428312930236429E-2</c:v>
                </c:pt>
                <c:pt idx="12">
                  <c:v>1.4261874632173367E-2</c:v>
                </c:pt>
                <c:pt idx="13">
                  <c:v>5.7553515547073804E-3</c:v>
                </c:pt>
                <c:pt idx="14">
                  <c:v>1.6779715867754501E-2</c:v>
                </c:pt>
                <c:pt idx="15">
                  <c:v>2.1168491024347001E-2</c:v>
                </c:pt>
                <c:pt idx="16">
                  <c:v>2.3707156462213354E-2</c:v>
                </c:pt>
                <c:pt idx="17">
                  <c:v>1.1965425905726084E-2</c:v>
                </c:pt>
                <c:pt idx="18">
                  <c:v>2.63524082197002E-2</c:v>
                </c:pt>
                <c:pt idx="19">
                  <c:v>4.1101200440809262E-2</c:v>
                </c:pt>
                <c:pt idx="20">
                  <c:v>2.6706406603077361E-2</c:v>
                </c:pt>
                <c:pt idx="21">
                  <c:v>5.1776249658214153E-2</c:v>
                </c:pt>
                <c:pt idx="22">
                  <c:v>4.3760153915595054E-2</c:v>
                </c:pt>
                <c:pt idx="23">
                  <c:v>6.3263867792868855E-2</c:v>
                </c:pt>
                <c:pt idx="24">
                  <c:v>9.3103478025830189E-2</c:v>
                </c:pt>
                <c:pt idx="25">
                  <c:v>4.8109945434403223E-2</c:v>
                </c:pt>
                <c:pt idx="26">
                  <c:v>4.5623295896055752E-2</c:v>
                </c:pt>
                <c:pt idx="27">
                  <c:v>2.6270564194411348E-2</c:v>
                </c:pt>
                <c:pt idx="28">
                  <c:v>2.2223848192544454E-2</c:v>
                </c:pt>
                <c:pt idx="29">
                  <c:v>2.5524273553948103E-2</c:v>
                </c:pt>
                <c:pt idx="30">
                  <c:v>1.1314740482776189E-2</c:v>
                </c:pt>
                <c:pt idx="31">
                  <c:v>1.4301388467159904E-2</c:v>
                </c:pt>
                <c:pt idx="32">
                  <c:v>8.1377052833719009E-3</c:v>
                </c:pt>
                <c:pt idx="33">
                  <c:v>5.3855429953901437E-3</c:v>
                </c:pt>
                <c:pt idx="34">
                  <c:v>4.9056550525325496E-3</c:v>
                </c:pt>
                <c:pt idx="35">
                  <c:v>1.427830494300786E-3</c:v>
                </c:pt>
                <c:pt idx="36">
                  <c:v>6.5951650649857668E-3</c:v>
                </c:pt>
                <c:pt idx="37">
                  <c:v>6.4211196737153364E-3</c:v>
                </c:pt>
                <c:pt idx="38">
                  <c:v>3.2595247452263765E-3</c:v>
                </c:pt>
                <c:pt idx="39">
                  <c:v>4.9854065758676326E-3</c:v>
                </c:pt>
                <c:pt idx="40">
                  <c:v>2.5879387454831333E-2</c:v>
                </c:pt>
                <c:pt idx="41">
                  <c:v>0</c:v>
                </c:pt>
              </c:numCache>
            </c:numRef>
          </c:val>
          <c:extLst>
            <c:ext xmlns:c16="http://schemas.microsoft.com/office/drawing/2014/chart" uri="{C3380CC4-5D6E-409C-BE32-E72D297353CC}">
              <c16:uniqueId val="{00000001-36D0-4D42-85CC-97B2B92C19E5}"/>
            </c:ext>
          </c:extLst>
        </c:ser>
        <c:dLbls>
          <c:showLegendKey val="0"/>
          <c:showVal val="0"/>
          <c:showCatName val="0"/>
          <c:showSerName val="0"/>
          <c:showPercent val="0"/>
          <c:showBubbleSize val="0"/>
        </c:dLbls>
        <c:gapWidth val="219"/>
        <c:overlap val="-27"/>
        <c:axId val="1196022968"/>
        <c:axId val="1196044616"/>
      </c:barChart>
      <c:catAx>
        <c:axId val="1196022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044616"/>
        <c:crosses val="autoZero"/>
        <c:auto val="1"/>
        <c:lblAlgn val="ctr"/>
        <c:lblOffset val="100"/>
        <c:noMultiLvlLbl val="0"/>
      </c:catAx>
      <c:valAx>
        <c:axId val="11960446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02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US"/>
              <a:t>Sleeper Cab Tractor VMT Distribution</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Centrally Refueled</c:v>
          </c:tx>
          <c:spPr>
            <a:solidFill>
              <a:schemeClr val="accent1"/>
            </a:solidFill>
            <a:ln>
              <a:noFill/>
            </a:ln>
            <a:effectLst/>
          </c:spPr>
          <c:invertIfNegative val="0"/>
          <c:cat>
            <c:strRef>
              <c:f>'Market Data'!$A$126:$A$136</c:f>
              <c:strCache>
                <c:ptCount val="11"/>
                <c:pt idx="0">
                  <c:v>0-20</c:v>
                </c:pt>
                <c:pt idx="1">
                  <c:v>20-40</c:v>
                </c:pt>
                <c:pt idx="2">
                  <c:v>40-60</c:v>
                </c:pt>
                <c:pt idx="3">
                  <c:v>60-80</c:v>
                </c:pt>
                <c:pt idx="4">
                  <c:v>80-100</c:v>
                </c:pt>
                <c:pt idx="5">
                  <c:v>100-120</c:v>
                </c:pt>
                <c:pt idx="6">
                  <c:v>120-140</c:v>
                </c:pt>
                <c:pt idx="7">
                  <c:v>140-160</c:v>
                </c:pt>
                <c:pt idx="8">
                  <c:v>160-180</c:v>
                </c:pt>
                <c:pt idx="9">
                  <c:v>180-200</c:v>
                </c:pt>
                <c:pt idx="10">
                  <c:v>&gt;200</c:v>
                </c:pt>
              </c:strCache>
            </c:strRef>
          </c:cat>
          <c:val>
            <c:numRef>
              <c:f>'Market Data'!$G$126:$G$136</c:f>
              <c:numCache>
                <c:formatCode>0.0%</c:formatCode>
                <c:ptCount val="11"/>
                <c:pt idx="0">
                  <c:v>8.9762242961142352E-4</c:v>
                </c:pt>
                <c:pt idx="1">
                  <c:v>1.2044238150123706E-3</c:v>
                </c:pt>
                <c:pt idx="2">
                  <c:v>4.1499109643594731E-3</c:v>
                </c:pt>
                <c:pt idx="3">
                  <c:v>1.9575808105519295E-2</c:v>
                </c:pt>
                <c:pt idx="4">
                  <c:v>3.4523467949689302E-2</c:v>
                </c:pt>
                <c:pt idx="5">
                  <c:v>2.7311948935134379E-2</c:v>
                </c:pt>
                <c:pt idx="6">
                  <c:v>7.6478458482655817E-2</c:v>
                </c:pt>
                <c:pt idx="7">
                  <c:v>3.2480526319280681E-2</c:v>
                </c:pt>
                <c:pt idx="8">
                  <c:v>1.1772940427842455E-2</c:v>
                </c:pt>
                <c:pt idx="9">
                  <c:v>6.0339283082965706E-3</c:v>
                </c:pt>
                <c:pt idx="10">
                  <c:v>1.5952440951210019E-2</c:v>
                </c:pt>
              </c:numCache>
            </c:numRef>
          </c:val>
          <c:extLst>
            <c:ext xmlns:c16="http://schemas.microsoft.com/office/drawing/2014/chart" uri="{C3380CC4-5D6E-409C-BE32-E72D297353CC}">
              <c16:uniqueId val="{00000000-4015-4AAD-806D-BAB6ECA2E426}"/>
            </c:ext>
          </c:extLst>
        </c:ser>
        <c:ser>
          <c:idx val="1"/>
          <c:order val="1"/>
          <c:tx>
            <c:v>Non-Centrally Fueled</c:v>
          </c:tx>
          <c:spPr>
            <a:solidFill>
              <a:schemeClr val="accent2"/>
            </a:solidFill>
            <a:ln>
              <a:noFill/>
            </a:ln>
            <a:effectLst/>
          </c:spPr>
          <c:invertIfNegative val="0"/>
          <c:cat>
            <c:strRef>
              <c:f>'Market Data'!$A$126:$A$136</c:f>
              <c:strCache>
                <c:ptCount val="11"/>
                <c:pt idx="0">
                  <c:v>0-20</c:v>
                </c:pt>
                <c:pt idx="1">
                  <c:v>20-40</c:v>
                </c:pt>
                <c:pt idx="2">
                  <c:v>40-60</c:v>
                </c:pt>
                <c:pt idx="3">
                  <c:v>60-80</c:v>
                </c:pt>
                <c:pt idx="4">
                  <c:v>80-100</c:v>
                </c:pt>
                <c:pt idx="5">
                  <c:v>100-120</c:v>
                </c:pt>
                <c:pt idx="6">
                  <c:v>120-140</c:v>
                </c:pt>
                <c:pt idx="7">
                  <c:v>140-160</c:v>
                </c:pt>
                <c:pt idx="8">
                  <c:v>160-180</c:v>
                </c:pt>
                <c:pt idx="9">
                  <c:v>180-200</c:v>
                </c:pt>
                <c:pt idx="10">
                  <c:v>&gt;200</c:v>
                </c:pt>
              </c:strCache>
            </c:strRef>
          </c:cat>
          <c:val>
            <c:numRef>
              <c:f>'Market Data'!$I$126:$I$136</c:f>
              <c:numCache>
                <c:formatCode>0.0%</c:formatCode>
                <c:ptCount val="11"/>
                <c:pt idx="0">
                  <c:v>1.3589913425833078E-3</c:v>
                </c:pt>
                <c:pt idx="1">
                  <c:v>5.8692629772239642E-3</c:v>
                </c:pt>
                <c:pt idx="2">
                  <c:v>1.2100393581509007E-2</c:v>
                </c:pt>
                <c:pt idx="3">
                  <c:v>3.6555003327388577E-2</c:v>
                </c:pt>
                <c:pt idx="4">
                  <c:v>8.3148735051829181E-2</c:v>
                </c:pt>
                <c:pt idx="5">
                  <c:v>0.18151138394047112</c:v>
                </c:pt>
                <c:pt idx="6">
                  <c:v>0.2383386372324876</c:v>
                </c:pt>
                <c:pt idx="7">
                  <c:v>9.5602564448196578E-2</c:v>
                </c:pt>
                <c:pt idx="8">
                  <c:v>2.9193025028929166E-2</c:v>
                </c:pt>
                <c:pt idx="9">
                  <c:v>3.5209492159336005E-2</c:v>
                </c:pt>
                <c:pt idx="10">
                  <c:v>5.0731034221433824E-2</c:v>
                </c:pt>
              </c:numCache>
            </c:numRef>
          </c:val>
          <c:extLst>
            <c:ext xmlns:c16="http://schemas.microsoft.com/office/drawing/2014/chart" uri="{C3380CC4-5D6E-409C-BE32-E72D297353CC}">
              <c16:uniqueId val="{00000001-4015-4AAD-806D-BAB6ECA2E426}"/>
            </c:ext>
          </c:extLst>
        </c:ser>
        <c:dLbls>
          <c:showLegendKey val="0"/>
          <c:showVal val="0"/>
          <c:showCatName val="0"/>
          <c:showSerName val="0"/>
          <c:showPercent val="0"/>
          <c:showBubbleSize val="0"/>
        </c:dLbls>
        <c:gapWidth val="40"/>
        <c:axId val="854153008"/>
        <c:axId val="854156944"/>
      </c:barChart>
      <c:catAx>
        <c:axId val="854153008"/>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Annual VMT (1,000 miles)</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54156944"/>
        <c:crosses val="autoZero"/>
        <c:auto val="1"/>
        <c:lblAlgn val="ctr"/>
        <c:lblOffset val="100"/>
        <c:noMultiLvlLbl val="0"/>
      </c:catAx>
      <c:valAx>
        <c:axId val="85415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 of All Sleeper Cab Miles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5415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Day Cab Tractor VMT Distribution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Centrally Refueled</c:v>
          </c:tx>
          <c:spPr>
            <a:solidFill>
              <a:schemeClr val="accent1"/>
            </a:solidFill>
            <a:ln>
              <a:noFill/>
            </a:ln>
            <a:effectLst/>
          </c:spPr>
          <c:invertIfNegative val="0"/>
          <c:cat>
            <c:strRef>
              <c:f>'Market Data'!$A$126:$A$136</c:f>
              <c:strCache>
                <c:ptCount val="11"/>
                <c:pt idx="0">
                  <c:v>0-20</c:v>
                </c:pt>
                <c:pt idx="1">
                  <c:v>20-40</c:v>
                </c:pt>
                <c:pt idx="2">
                  <c:v>40-60</c:v>
                </c:pt>
                <c:pt idx="3">
                  <c:v>60-80</c:v>
                </c:pt>
                <c:pt idx="4">
                  <c:v>80-100</c:v>
                </c:pt>
                <c:pt idx="5">
                  <c:v>100-120</c:v>
                </c:pt>
                <c:pt idx="6">
                  <c:v>120-140</c:v>
                </c:pt>
                <c:pt idx="7">
                  <c:v>140-160</c:v>
                </c:pt>
                <c:pt idx="8">
                  <c:v>160-180</c:v>
                </c:pt>
                <c:pt idx="9">
                  <c:v>180-200</c:v>
                </c:pt>
                <c:pt idx="10">
                  <c:v>&gt;200</c:v>
                </c:pt>
              </c:strCache>
            </c:strRef>
          </c:cat>
          <c:val>
            <c:numRef>
              <c:f>'Market Data'!$Q$126:$Q$136</c:f>
              <c:numCache>
                <c:formatCode>0.0%</c:formatCode>
                <c:ptCount val="11"/>
                <c:pt idx="0">
                  <c:v>6.3375455551975849E-3</c:v>
                </c:pt>
                <c:pt idx="1">
                  <c:v>3.496913005496359E-2</c:v>
                </c:pt>
                <c:pt idx="2">
                  <c:v>5.9955127131675522E-2</c:v>
                </c:pt>
                <c:pt idx="3">
                  <c:v>8.4599669387910512E-2</c:v>
                </c:pt>
                <c:pt idx="4">
                  <c:v>0.12702701008436962</c:v>
                </c:pt>
                <c:pt idx="5">
                  <c:v>6.7204731283582092E-2</c:v>
                </c:pt>
                <c:pt idx="6">
                  <c:v>8.8708982453757024E-2</c:v>
                </c:pt>
                <c:pt idx="7">
                  <c:v>6.4694225377098208E-2</c:v>
                </c:pt>
                <c:pt idx="8">
                  <c:v>3.2526447027526634E-2</c:v>
                </c:pt>
                <c:pt idx="9">
                  <c:v>1.589064319454132E-2</c:v>
                </c:pt>
                <c:pt idx="10">
                  <c:v>3.2608183213810787E-2</c:v>
                </c:pt>
              </c:numCache>
            </c:numRef>
          </c:val>
          <c:extLst>
            <c:ext xmlns:c16="http://schemas.microsoft.com/office/drawing/2014/chart" uri="{C3380CC4-5D6E-409C-BE32-E72D297353CC}">
              <c16:uniqueId val="{00000000-9FEA-4CB0-A51C-242D51DB5696}"/>
            </c:ext>
          </c:extLst>
        </c:ser>
        <c:ser>
          <c:idx val="1"/>
          <c:order val="1"/>
          <c:tx>
            <c:v>Non-Centrally Refueled</c:v>
          </c:tx>
          <c:spPr>
            <a:solidFill>
              <a:schemeClr val="accent2"/>
            </a:solidFill>
            <a:ln>
              <a:noFill/>
            </a:ln>
            <a:effectLst/>
          </c:spPr>
          <c:invertIfNegative val="0"/>
          <c:cat>
            <c:strRef>
              <c:f>'Market Data'!$A$126:$A$136</c:f>
              <c:strCache>
                <c:ptCount val="11"/>
                <c:pt idx="0">
                  <c:v>0-20</c:v>
                </c:pt>
                <c:pt idx="1">
                  <c:v>20-40</c:v>
                </c:pt>
                <c:pt idx="2">
                  <c:v>40-60</c:v>
                </c:pt>
                <c:pt idx="3">
                  <c:v>60-80</c:v>
                </c:pt>
                <c:pt idx="4">
                  <c:v>80-100</c:v>
                </c:pt>
                <c:pt idx="5">
                  <c:v>100-120</c:v>
                </c:pt>
                <c:pt idx="6">
                  <c:v>120-140</c:v>
                </c:pt>
                <c:pt idx="7">
                  <c:v>140-160</c:v>
                </c:pt>
                <c:pt idx="8">
                  <c:v>160-180</c:v>
                </c:pt>
                <c:pt idx="9">
                  <c:v>180-200</c:v>
                </c:pt>
                <c:pt idx="10">
                  <c:v>&gt;200</c:v>
                </c:pt>
              </c:strCache>
            </c:strRef>
          </c:cat>
          <c:val>
            <c:numRef>
              <c:f>'Market Data'!$S$126:$S$136</c:f>
              <c:numCache>
                <c:formatCode>0.0%</c:formatCode>
                <c:ptCount val="11"/>
                <c:pt idx="0">
                  <c:v>8.1228463417563086E-3</c:v>
                </c:pt>
                <c:pt idx="1">
                  <c:v>2.7563836768431361E-2</c:v>
                </c:pt>
                <c:pt idx="2">
                  <c:v>4.1883113088337191E-2</c:v>
                </c:pt>
                <c:pt idx="3">
                  <c:v>6.4289357588678764E-2</c:v>
                </c:pt>
                <c:pt idx="4">
                  <c:v>9.1183275251204537E-2</c:v>
                </c:pt>
                <c:pt idx="5">
                  <c:v>5.1984283219922628E-2</c:v>
                </c:pt>
                <c:pt idx="6">
                  <c:v>5.0286059545109812E-2</c:v>
                </c:pt>
                <c:pt idx="7">
                  <c:v>1.5542287574292338E-2</c:v>
                </c:pt>
                <c:pt idx="8">
                  <c:v>1.4506257462625264E-2</c:v>
                </c:pt>
                <c:pt idx="9">
                  <c:v>4.9330966304706684E-3</c:v>
                </c:pt>
                <c:pt idx="10">
                  <c:v>1.5183891764738403E-2</c:v>
                </c:pt>
              </c:numCache>
            </c:numRef>
          </c:val>
          <c:extLst>
            <c:ext xmlns:c16="http://schemas.microsoft.com/office/drawing/2014/chart" uri="{C3380CC4-5D6E-409C-BE32-E72D297353CC}">
              <c16:uniqueId val="{00000001-9FEA-4CB0-A51C-242D51DB5696}"/>
            </c:ext>
          </c:extLst>
        </c:ser>
        <c:dLbls>
          <c:showLegendKey val="0"/>
          <c:showVal val="0"/>
          <c:showCatName val="0"/>
          <c:showSerName val="0"/>
          <c:showPercent val="0"/>
          <c:showBubbleSize val="0"/>
        </c:dLbls>
        <c:gapWidth val="40"/>
        <c:axId val="854153008"/>
        <c:axId val="854156944"/>
      </c:barChart>
      <c:catAx>
        <c:axId val="854153008"/>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Annual VMT (1,000</a:t>
                </a:r>
                <a:r>
                  <a:rPr lang="en-US" sz="1100" baseline="0"/>
                  <a:t> miles)</a:t>
                </a:r>
                <a:endParaRPr lang="en-US"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54156944"/>
        <c:crosses val="autoZero"/>
        <c:auto val="1"/>
        <c:lblAlgn val="ctr"/>
        <c:lblOffset val="100"/>
        <c:noMultiLvlLbl val="0"/>
      </c:catAx>
      <c:valAx>
        <c:axId val="85415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t>
                </a:r>
                <a:r>
                  <a:rPr lang="en-US" sz="1100" baseline="0"/>
                  <a:t> of All Day Cab Miles</a:t>
                </a:r>
                <a:endParaRPr lang="en-US" sz="1100"/>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5415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Class</a:t>
            </a:r>
            <a:r>
              <a:rPr lang="en-US" sz="1200" baseline="0"/>
              <a:t> 7&amp;8 </a:t>
            </a:r>
            <a:r>
              <a:rPr lang="en-US" sz="1200"/>
              <a:t>Vocational VMT Distribution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Centrally Refueled</c:v>
          </c:tx>
          <c:spPr>
            <a:solidFill>
              <a:schemeClr val="accent1"/>
            </a:solidFill>
            <a:ln>
              <a:noFill/>
            </a:ln>
            <a:effectLst/>
          </c:spPr>
          <c:invertIfNegative val="0"/>
          <c:cat>
            <c:strRef>
              <c:f>'Market Data'!$A$126:$A$136</c:f>
              <c:strCache>
                <c:ptCount val="11"/>
                <c:pt idx="0">
                  <c:v>0-20</c:v>
                </c:pt>
                <c:pt idx="1">
                  <c:v>20-40</c:v>
                </c:pt>
                <c:pt idx="2">
                  <c:v>40-60</c:v>
                </c:pt>
                <c:pt idx="3">
                  <c:v>60-80</c:v>
                </c:pt>
                <c:pt idx="4">
                  <c:v>80-100</c:v>
                </c:pt>
                <c:pt idx="5">
                  <c:v>100-120</c:v>
                </c:pt>
                <c:pt idx="6">
                  <c:v>120-140</c:v>
                </c:pt>
                <c:pt idx="7">
                  <c:v>140-160</c:v>
                </c:pt>
                <c:pt idx="8">
                  <c:v>160-180</c:v>
                </c:pt>
                <c:pt idx="9">
                  <c:v>180-200</c:v>
                </c:pt>
                <c:pt idx="10">
                  <c:v>&gt;200</c:v>
                </c:pt>
              </c:strCache>
            </c:strRef>
          </c:cat>
          <c:val>
            <c:numRef>
              <c:f>'Market Data'!$AA$126:$AA$136</c:f>
              <c:numCache>
                <c:formatCode>0.0%</c:formatCode>
                <c:ptCount val="11"/>
                <c:pt idx="0">
                  <c:v>7.4407503791532936E-2</c:v>
                </c:pt>
                <c:pt idx="1">
                  <c:v>0.15052192967997111</c:v>
                </c:pt>
                <c:pt idx="2">
                  <c:v>8.9028098283245441E-2</c:v>
                </c:pt>
                <c:pt idx="3">
                  <c:v>4.5356257743642811E-2</c:v>
                </c:pt>
                <c:pt idx="4">
                  <c:v>2.1016507050137231E-2</c:v>
                </c:pt>
                <c:pt idx="5">
                  <c:v>4.9007047894213725E-4</c:v>
                </c:pt>
                <c:pt idx="6">
                  <c:v>1.4797621296467818E-2</c:v>
                </c:pt>
                <c:pt idx="7">
                  <c:v>0</c:v>
                </c:pt>
                <c:pt idx="8">
                  <c:v>0</c:v>
                </c:pt>
                <c:pt idx="9">
                  <c:v>3.7103078033661591E-3</c:v>
                </c:pt>
                <c:pt idx="10">
                  <c:v>0</c:v>
                </c:pt>
              </c:numCache>
            </c:numRef>
          </c:val>
          <c:extLst>
            <c:ext xmlns:c16="http://schemas.microsoft.com/office/drawing/2014/chart" uri="{C3380CC4-5D6E-409C-BE32-E72D297353CC}">
              <c16:uniqueId val="{00000000-82B5-48A6-A3A3-64331FE1B1DD}"/>
            </c:ext>
          </c:extLst>
        </c:ser>
        <c:ser>
          <c:idx val="1"/>
          <c:order val="1"/>
          <c:tx>
            <c:v>Non-Centrally Refueled</c:v>
          </c:tx>
          <c:spPr>
            <a:solidFill>
              <a:schemeClr val="accent2"/>
            </a:solidFill>
            <a:ln>
              <a:noFill/>
            </a:ln>
            <a:effectLst/>
          </c:spPr>
          <c:invertIfNegative val="0"/>
          <c:cat>
            <c:strRef>
              <c:f>'Market Data'!$A$126:$A$136</c:f>
              <c:strCache>
                <c:ptCount val="11"/>
                <c:pt idx="0">
                  <c:v>0-20</c:v>
                </c:pt>
                <c:pt idx="1">
                  <c:v>20-40</c:v>
                </c:pt>
                <c:pt idx="2">
                  <c:v>40-60</c:v>
                </c:pt>
                <c:pt idx="3">
                  <c:v>60-80</c:v>
                </c:pt>
                <c:pt idx="4">
                  <c:v>80-100</c:v>
                </c:pt>
                <c:pt idx="5">
                  <c:v>100-120</c:v>
                </c:pt>
                <c:pt idx="6">
                  <c:v>120-140</c:v>
                </c:pt>
                <c:pt idx="7">
                  <c:v>140-160</c:v>
                </c:pt>
                <c:pt idx="8">
                  <c:v>160-180</c:v>
                </c:pt>
                <c:pt idx="9">
                  <c:v>180-200</c:v>
                </c:pt>
                <c:pt idx="10">
                  <c:v>&gt;200</c:v>
                </c:pt>
              </c:strCache>
            </c:strRef>
          </c:cat>
          <c:val>
            <c:numRef>
              <c:f>'Market Data'!$AC$126:$AC$136</c:f>
              <c:numCache>
                <c:formatCode>0.0%</c:formatCode>
                <c:ptCount val="11"/>
                <c:pt idx="0">
                  <c:v>0.11481596497083862</c:v>
                </c:pt>
                <c:pt idx="1">
                  <c:v>0.26987209279577573</c:v>
                </c:pt>
                <c:pt idx="2">
                  <c:v>8.3836105982992667E-2</c:v>
                </c:pt>
                <c:pt idx="3">
                  <c:v>5.9842896537765707E-2</c:v>
                </c:pt>
                <c:pt idx="4">
                  <c:v>1.6413649143963899E-2</c:v>
                </c:pt>
                <c:pt idx="5">
                  <c:v>1.0165768727376887E-2</c:v>
                </c:pt>
                <c:pt idx="6">
                  <c:v>2.0700108148562976E-2</c:v>
                </c:pt>
                <c:pt idx="7">
                  <c:v>2.0956833812228508E-2</c:v>
                </c:pt>
                <c:pt idx="8">
                  <c:v>3.1584958359553582E-3</c:v>
                </c:pt>
                <c:pt idx="9">
                  <c:v>0</c:v>
                </c:pt>
                <c:pt idx="10">
                  <c:v>9.0978791723388369E-4</c:v>
                </c:pt>
              </c:numCache>
            </c:numRef>
          </c:val>
          <c:extLst>
            <c:ext xmlns:c16="http://schemas.microsoft.com/office/drawing/2014/chart" uri="{C3380CC4-5D6E-409C-BE32-E72D297353CC}">
              <c16:uniqueId val="{00000001-82B5-48A6-A3A3-64331FE1B1DD}"/>
            </c:ext>
          </c:extLst>
        </c:ser>
        <c:dLbls>
          <c:showLegendKey val="0"/>
          <c:showVal val="0"/>
          <c:showCatName val="0"/>
          <c:showSerName val="0"/>
          <c:showPercent val="0"/>
          <c:showBubbleSize val="0"/>
        </c:dLbls>
        <c:gapWidth val="40"/>
        <c:axId val="854153008"/>
        <c:axId val="854156944"/>
      </c:barChart>
      <c:catAx>
        <c:axId val="854153008"/>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Annual VMT (1,000</a:t>
                </a:r>
                <a:r>
                  <a:rPr lang="en-US" sz="1100" baseline="0"/>
                  <a:t> miles)</a:t>
                </a:r>
                <a:endParaRPr lang="en-US" sz="1100"/>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54156944"/>
        <c:crosses val="autoZero"/>
        <c:auto val="1"/>
        <c:lblAlgn val="ctr"/>
        <c:lblOffset val="100"/>
        <c:noMultiLvlLbl val="0"/>
      </c:catAx>
      <c:valAx>
        <c:axId val="85415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 of All 7&amp;8 Vocational Miles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5415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0.99999916847197201</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24259609325771897"/>
          <c:y val="2.821311129212296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9411-4DCB-A5E3-1D8EEBCC6F15}"/>
              </c:ext>
            </c:extLst>
          </c:dPt>
          <c:dPt>
            <c:idx val="2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Adjustment Factor</a:t>
                </a:r>
              </a:p>
            </c:rich>
          </c:tx>
          <c:layout>
            <c:manualLayout>
              <c:xMode val="edge"/>
              <c:yMode val="edge"/>
              <c:x val="4.5368620037807186E-2"/>
              <c:y val="0.2821317162940839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2.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4" Type="http://schemas.openxmlformats.org/officeDocument/2006/relationships/chart" Target="../charts/chart2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5" Type="http://schemas.openxmlformats.org/officeDocument/2006/relationships/chart" Target="../charts/chart36.xml"/><Relationship Id="rId4"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85725</xdr:colOff>
          <xdr:row>8</xdr:row>
          <xdr:rowOff>0</xdr:rowOff>
        </xdr:from>
        <xdr:to>
          <xdr:col>18</xdr:col>
          <xdr:colOff>438150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8</xdr:row>
          <xdr:rowOff>123825</xdr:rowOff>
        </xdr:from>
        <xdr:to>
          <xdr:col>19</xdr:col>
          <xdr:colOff>476250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104562</xdr:colOff>
      <xdr:row>24</xdr:row>
      <xdr:rowOff>117482</xdr:rowOff>
    </xdr:from>
    <xdr:to>
      <xdr:col>19</xdr:col>
      <xdr:colOff>43602</xdr:colOff>
      <xdr:row>42</xdr:row>
      <xdr:rowOff>3182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106679</xdr:colOff>
      <xdr:row>23</xdr:row>
      <xdr:rowOff>119380</xdr:rowOff>
    </xdr:from>
    <xdr:to>
      <xdr:col>41</xdr:col>
      <xdr:colOff>350519</xdr:colOff>
      <xdr:row>41</xdr:row>
      <xdr:rowOff>5080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197733</xdr:colOff>
      <xdr:row>9</xdr:row>
      <xdr:rowOff>114774</xdr:rowOff>
    </xdr:from>
    <xdr:to>
      <xdr:col>6</xdr:col>
      <xdr:colOff>674095</xdr:colOff>
      <xdr:row>24</xdr:row>
      <xdr:rowOff>1146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62753</xdr:colOff>
      <xdr:row>9</xdr:row>
      <xdr:rowOff>136710</xdr:rowOff>
    </xdr:from>
    <xdr:to>
      <xdr:col>12</xdr:col>
      <xdr:colOff>578221</xdr:colOff>
      <xdr:row>23</xdr:row>
      <xdr:rowOff>188257</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69139</xdr:colOff>
      <xdr:row>9</xdr:row>
      <xdr:rowOff>157218</xdr:rowOff>
    </xdr:from>
    <xdr:to>
      <xdr:col>18</xdr:col>
      <xdr:colOff>348300</xdr:colOff>
      <xdr:row>24</xdr:row>
      <xdr:rowOff>23980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29</xdr:col>
      <xdr:colOff>198783</xdr:colOff>
      <xdr:row>28</xdr:row>
      <xdr:rowOff>165653</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56029</xdr:colOff>
      <xdr:row>24</xdr:row>
      <xdr:rowOff>134471</xdr:rowOff>
    </xdr:from>
    <xdr:to>
      <xdr:col>18</xdr:col>
      <xdr:colOff>343709</xdr:colOff>
      <xdr:row>39</xdr:row>
      <xdr:rowOff>14312</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7"/>
        <a:stretch>
          <a:fillRect/>
        </a:stretch>
      </xdr:blipFill>
      <xdr:spPr>
        <a:xfrm>
          <a:off x="9446558" y="5109883"/>
          <a:ext cx="4176122" cy="2737341"/>
        </a:xfrm>
        <a:prstGeom prst="rect">
          <a:avLst/>
        </a:prstGeom>
      </xdr:spPr>
    </xdr:pic>
    <xdr:clientData/>
  </xdr:twoCellAnchor>
  <xdr:oneCellAnchor>
    <xdr:from>
      <xdr:col>13</xdr:col>
      <xdr:colOff>347383</xdr:colOff>
      <xdr:row>25</xdr:row>
      <xdr:rowOff>179294</xdr:rowOff>
    </xdr:from>
    <xdr:ext cx="3536224" cy="264560"/>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9737912" y="5345206"/>
          <a:ext cx="353622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FF0000"/>
              </a:solidFill>
            </a:rPr>
            <a:t>9/26</a:t>
          </a:r>
          <a:r>
            <a:rPr lang="en-US" sz="1100" baseline="0">
              <a:solidFill>
                <a:srgbClr val="FF0000"/>
              </a:solidFill>
            </a:rPr>
            <a:t> results - different idle rates&amp;cost and 2050 CdA &amp; Crr</a:t>
          </a:r>
          <a:endParaRPr lang="en-US" sz="1100">
            <a:solidFill>
              <a:srgbClr val="FF0000"/>
            </a:solidFill>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140073</xdr:colOff>
      <xdr:row>11</xdr:row>
      <xdr:rowOff>86957</xdr:rowOff>
    </xdr:from>
    <xdr:to>
      <xdr:col>8</xdr:col>
      <xdr:colOff>467284</xdr:colOff>
      <xdr:row>30</xdr:row>
      <xdr:rowOff>123712</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476922</xdr:colOff>
      <xdr:row>25</xdr:row>
      <xdr:rowOff>127972</xdr:rowOff>
    </xdr:from>
    <xdr:to>
      <xdr:col>23</xdr:col>
      <xdr:colOff>43703</xdr:colOff>
      <xdr:row>43</xdr:row>
      <xdr:rowOff>47290</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84666</xdr:colOff>
      <xdr:row>13</xdr:row>
      <xdr:rowOff>157691</xdr:rowOff>
    </xdr:from>
    <xdr:to>
      <xdr:col>14</xdr:col>
      <xdr:colOff>126999</xdr:colOff>
      <xdr:row>31</xdr:row>
      <xdr:rowOff>43391</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442912</xdr:colOff>
      <xdr:row>137</xdr:row>
      <xdr:rowOff>133350</xdr:rowOff>
    </xdr:from>
    <xdr:to>
      <xdr:col>8</xdr:col>
      <xdr:colOff>414337</xdr:colOff>
      <xdr:row>152</xdr:row>
      <xdr:rowOff>28574</xdr:rowOff>
    </xdr:to>
    <xdr:graphicFrame macro="">
      <xdr:nvGraphicFramePr>
        <xdr:cNvPr id="4" name="Chart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76200</xdr:colOff>
      <xdr:row>138</xdr:row>
      <xdr:rowOff>57150</xdr:rowOff>
    </xdr:from>
    <xdr:to>
      <xdr:col>17</xdr:col>
      <xdr:colOff>47625</xdr:colOff>
      <xdr:row>152</xdr:row>
      <xdr:rowOff>123824</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0</xdr:colOff>
      <xdr:row>138</xdr:row>
      <xdr:rowOff>0</xdr:rowOff>
    </xdr:from>
    <xdr:to>
      <xdr:col>28</xdr:col>
      <xdr:colOff>628650</xdr:colOff>
      <xdr:row>152</xdr:row>
      <xdr:rowOff>66674</xdr:rowOff>
    </xdr:to>
    <xdr:graphicFrame macro="">
      <xdr:nvGraphicFramePr>
        <xdr:cNvPr id="6" name="Chart 5">
          <a:extLst>
            <a:ext uri="{FF2B5EF4-FFF2-40B4-BE49-F238E27FC236}">
              <a16:creationId xmlns:a16="http://schemas.microsoft.com/office/drawing/2014/main" id="{00000000-0008-0000-1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108585</xdr:colOff>
      <xdr:row>7</xdr:row>
      <xdr:rowOff>114300</xdr:rowOff>
    </xdr:from>
    <xdr:to>
      <xdr:col>11</xdr:col>
      <xdr:colOff>548640</xdr:colOff>
      <xdr:row>21</xdr:row>
      <xdr:rowOff>108585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22</xdr:row>
      <xdr:rowOff>114300</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defaultRowHeight="12.75" x14ac:dyDescent="0.2"/>
  <cols>
    <col min="1" max="1" width="9.140625" style="1182"/>
    <col min="2" max="2" width="10.140625" style="1182" bestFit="1" customWidth="1"/>
    <col min="3" max="3" width="15.28515625" style="1182" bestFit="1" customWidth="1"/>
    <col min="4" max="4" width="72.7109375" style="1184" customWidth="1"/>
    <col min="5" max="16384" width="9.140625" style="1182"/>
  </cols>
  <sheetData>
    <row r="2" spans="2:4" x14ac:dyDescent="0.2">
      <c r="B2" s="1180" t="s">
        <v>382</v>
      </c>
    </row>
    <row r="4" spans="2:4" x14ac:dyDescent="0.2">
      <c r="B4" s="1180" t="s">
        <v>373</v>
      </c>
      <c r="C4" s="1180" t="s">
        <v>374</v>
      </c>
      <c r="D4" s="1181" t="s">
        <v>375</v>
      </c>
    </row>
    <row r="5" spans="2:4" x14ac:dyDescent="0.2">
      <c r="B5" s="1183">
        <v>43763</v>
      </c>
      <c r="C5" s="1180" t="s">
        <v>376</v>
      </c>
      <c r="D5" s="1181" t="s">
        <v>402</v>
      </c>
    </row>
    <row r="6" spans="2:4" x14ac:dyDescent="0.2">
      <c r="B6" s="1183">
        <v>43763</v>
      </c>
      <c r="C6" s="1180" t="s">
        <v>377</v>
      </c>
      <c r="D6" s="1181" t="s">
        <v>378</v>
      </c>
    </row>
    <row r="7" spans="2:4" ht="38.25" x14ac:dyDescent="0.2">
      <c r="B7" s="1183">
        <v>43763</v>
      </c>
      <c r="C7" s="1180" t="s">
        <v>379</v>
      </c>
      <c r="D7" s="1181" t="s">
        <v>380</v>
      </c>
    </row>
    <row r="8" spans="2:4" ht="38.25" x14ac:dyDescent="0.2">
      <c r="B8" s="1183">
        <v>43763</v>
      </c>
      <c r="C8" s="1180" t="s">
        <v>369</v>
      </c>
      <c r="D8" s="1181" t="s">
        <v>380</v>
      </c>
    </row>
    <row r="9" spans="2:4" ht="38.25" x14ac:dyDescent="0.2">
      <c r="B9" s="1183">
        <v>43763</v>
      </c>
      <c r="C9" s="1180" t="s">
        <v>381</v>
      </c>
      <c r="D9" s="1181" t="s">
        <v>380</v>
      </c>
    </row>
    <row r="10" spans="2:4" ht="38.25" x14ac:dyDescent="0.2">
      <c r="B10" s="1183">
        <v>43763</v>
      </c>
      <c r="C10" s="1180" t="s">
        <v>383</v>
      </c>
      <c r="D10" s="1181" t="s">
        <v>384</v>
      </c>
    </row>
    <row r="11" spans="2:4" ht="25.5" x14ac:dyDescent="0.2">
      <c r="B11" s="1183">
        <v>43763</v>
      </c>
      <c r="C11" s="1180" t="s">
        <v>379</v>
      </c>
      <c r="D11" s="1181" t="s">
        <v>385</v>
      </c>
    </row>
    <row r="12" spans="2:4" ht="25.5" x14ac:dyDescent="0.2">
      <c r="B12" s="1183">
        <v>43763</v>
      </c>
      <c r="C12" s="1180" t="s">
        <v>369</v>
      </c>
      <c r="D12" s="1181" t="s">
        <v>385</v>
      </c>
    </row>
    <row r="13" spans="2:4" ht="25.5" x14ac:dyDescent="0.2">
      <c r="B13" s="1183">
        <v>43763</v>
      </c>
      <c r="C13" s="1180" t="s">
        <v>381</v>
      </c>
      <c r="D13" s="1181" t="s">
        <v>385</v>
      </c>
    </row>
    <row r="14" spans="2:4" ht="38.25" x14ac:dyDescent="0.2">
      <c r="B14" s="1183">
        <v>43763</v>
      </c>
      <c r="C14" s="1180" t="s">
        <v>376</v>
      </c>
      <c r="D14" s="1181" t="s">
        <v>386</v>
      </c>
    </row>
    <row r="15" spans="2:4" ht="25.5" x14ac:dyDescent="0.2">
      <c r="B15" s="1183">
        <v>43768</v>
      </c>
      <c r="C15" s="1180" t="s">
        <v>393</v>
      </c>
      <c r="D15" s="1181" t="s">
        <v>396</v>
      </c>
    </row>
    <row r="16" spans="2:4" x14ac:dyDescent="0.2">
      <c r="B16" s="1180" t="s">
        <v>395</v>
      </c>
      <c r="C16" s="1180" t="s">
        <v>397</v>
      </c>
      <c r="D16" s="1181" t="s">
        <v>398</v>
      </c>
    </row>
    <row r="17" spans="2:4" x14ac:dyDescent="0.2">
      <c r="B17" s="1183">
        <v>43770</v>
      </c>
      <c r="C17" s="1180" t="s">
        <v>397</v>
      </c>
      <c r="D17" s="1181" t="s">
        <v>399</v>
      </c>
    </row>
    <row r="18" spans="2:4" ht="25.5" x14ac:dyDescent="0.2">
      <c r="B18" s="1335">
        <v>43770</v>
      </c>
      <c r="C18" s="1180" t="s">
        <v>400</v>
      </c>
      <c r="D18" s="1181" t="s">
        <v>401</v>
      </c>
    </row>
    <row r="19" spans="2:4" x14ac:dyDescent="0.2">
      <c r="B19" s="1183">
        <v>43775</v>
      </c>
      <c r="C19" s="1180" t="s">
        <v>393</v>
      </c>
      <c r="D19" s="1181" t="s">
        <v>404</v>
      </c>
    </row>
    <row r="20" spans="2:4" ht="25.5" x14ac:dyDescent="0.2">
      <c r="B20" s="1183">
        <v>43775</v>
      </c>
      <c r="C20" s="1180" t="s">
        <v>400</v>
      </c>
      <c r="D20" s="1181" t="s">
        <v>405</v>
      </c>
    </row>
    <row r="21" spans="2:4" ht="25.5" x14ac:dyDescent="0.2">
      <c r="B21" s="1183">
        <v>43775</v>
      </c>
      <c r="C21" s="1180" t="s">
        <v>383</v>
      </c>
      <c r="D21" s="1181" t="s">
        <v>406</v>
      </c>
    </row>
    <row r="22" spans="2:4" ht="51" x14ac:dyDescent="0.2">
      <c r="B22" s="1183">
        <v>43775</v>
      </c>
      <c r="C22" s="1180" t="s">
        <v>400</v>
      </c>
      <c r="D22" s="1181" t="s">
        <v>407</v>
      </c>
    </row>
    <row r="23" spans="2:4" x14ac:dyDescent="0.2">
      <c r="B23" s="1183">
        <v>43775</v>
      </c>
      <c r="C23" s="1180" t="s">
        <v>410</v>
      </c>
      <c r="D23" s="1181" t="s">
        <v>409</v>
      </c>
    </row>
    <row r="24" spans="2:4" ht="25.5" x14ac:dyDescent="0.2">
      <c r="B24" s="1183">
        <v>44019</v>
      </c>
      <c r="C24" s="1180" t="s">
        <v>397</v>
      </c>
      <c r="D24" s="1181" t="s">
        <v>440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defaultColWidth="9.140625" defaultRowHeight="12.75" x14ac:dyDescent="0.2"/>
  <cols>
    <col min="1" max="1" width="3" style="225" customWidth="1"/>
    <col min="2" max="2" width="120" style="239" customWidth="1"/>
    <col min="3" max="16384" width="9.140625" style="225"/>
  </cols>
  <sheetData>
    <row r="1" spans="1:3" ht="15.75" x14ac:dyDescent="0.25">
      <c r="A1" s="1506" t="s">
        <v>431</v>
      </c>
      <c r="B1" s="1506"/>
    </row>
    <row r="2" spans="1:3" x14ac:dyDescent="0.2">
      <c r="A2" s="1507" t="s">
        <v>366</v>
      </c>
      <c r="B2" s="1508"/>
    </row>
    <row r="3" spans="1:3" x14ac:dyDescent="0.2">
      <c r="A3" s="226"/>
      <c r="B3" s="227"/>
    </row>
    <row r="4" spans="1:3" ht="15" x14ac:dyDescent="0.25">
      <c r="A4" s="228" t="s">
        <v>130</v>
      </c>
      <c r="B4" s="229"/>
    </row>
    <row r="5" spans="1:3" ht="38.25" x14ac:dyDescent="0.2">
      <c r="A5" s="230">
        <v>1</v>
      </c>
      <c r="B5" s="1156" t="s">
        <v>433</v>
      </c>
      <c r="C5" s="248"/>
    </row>
    <row r="6" spans="1:3" x14ac:dyDescent="0.2">
      <c r="A6" s="231">
        <v>2</v>
      </c>
      <c r="B6" s="1157" t="s">
        <v>434</v>
      </c>
    </row>
    <row r="7" spans="1:3" x14ac:dyDescent="0.2">
      <c r="A7" s="231">
        <v>3</v>
      </c>
      <c r="B7" s="1158" t="s">
        <v>131</v>
      </c>
    </row>
    <row r="8" spans="1:3" ht="25.5" x14ac:dyDescent="0.2">
      <c r="A8" s="233"/>
      <c r="B8" s="1157" t="s">
        <v>132</v>
      </c>
    </row>
    <row r="9" spans="1:3" ht="38.25" x14ac:dyDescent="0.2">
      <c r="A9" s="235">
        <v>4</v>
      </c>
      <c r="B9" s="1159" t="s">
        <v>170</v>
      </c>
    </row>
    <row r="10" spans="1:3" x14ac:dyDescent="0.2">
      <c r="A10" s="235">
        <v>5</v>
      </c>
      <c r="B10" s="1159" t="s">
        <v>134</v>
      </c>
    </row>
    <row r="11" spans="1:3" ht="25.5" x14ac:dyDescent="0.2">
      <c r="A11" s="235">
        <v>6</v>
      </c>
      <c r="B11" s="1159" t="s">
        <v>171</v>
      </c>
    </row>
    <row r="12" spans="1:3" ht="25.5" x14ac:dyDescent="0.2">
      <c r="A12" s="235">
        <v>7</v>
      </c>
      <c r="B12" s="1159" t="s">
        <v>148</v>
      </c>
    </row>
    <row r="13" spans="1:3" ht="25.5" x14ac:dyDescent="0.2">
      <c r="A13" s="232">
        <v>8</v>
      </c>
      <c r="B13" s="1160" t="s">
        <v>435</v>
      </c>
    </row>
    <row r="14" spans="1:3" ht="16.5" customHeight="1" x14ac:dyDescent="0.2">
      <c r="A14" s="232"/>
      <c r="B14" s="1160" t="s">
        <v>436</v>
      </c>
    </row>
    <row r="15" spans="1:3" x14ac:dyDescent="0.2">
      <c r="A15" s="232"/>
      <c r="B15" s="1160" t="s">
        <v>438</v>
      </c>
    </row>
    <row r="16" spans="1:3" x14ac:dyDescent="0.2">
      <c r="A16" s="232"/>
      <c r="B16" s="1160" t="s">
        <v>439</v>
      </c>
    </row>
    <row r="17" spans="1:3" x14ac:dyDescent="0.2">
      <c r="A17" s="232"/>
      <c r="B17" s="1160"/>
    </row>
    <row r="18" spans="1:3" x14ac:dyDescent="0.2">
      <c r="A18" s="238"/>
      <c r="B18" s="1161" t="s">
        <v>437</v>
      </c>
    </row>
    <row r="20" spans="1:3" ht="15" x14ac:dyDescent="0.25">
      <c r="A20" s="228" t="s">
        <v>133</v>
      </c>
      <c r="B20" s="229"/>
    </row>
    <row r="21" spans="1:3" ht="18.75" customHeight="1" x14ac:dyDescent="0.2">
      <c r="A21" s="240">
        <v>1</v>
      </c>
      <c r="B21" s="241" t="s">
        <v>135</v>
      </c>
    </row>
    <row r="22" spans="1:3" x14ac:dyDescent="0.2">
      <c r="A22" s="242"/>
      <c r="B22" s="243" t="s">
        <v>145</v>
      </c>
    </row>
    <row r="23" spans="1:3" ht="18.75" customHeight="1" x14ac:dyDescent="0.2">
      <c r="A23" s="240">
        <v>2</v>
      </c>
      <c r="B23" s="241" t="s">
        <v>146</v>
      </c>
      <c r="C23" s="248"/>
    </row>
    <row r="24" spans="1:3" x14ac:dyDescent="0.2">
      <c r="A24" s="244"/>
      <c r="B24" s="279" t="s">
        <v>147</v>
      </c>
    </row>
    <row r="25" spans="1:3" x14ac:dyDescent="0.2">
      <c r="A25" s="244"/>
      <c r="B25" s="278" t="s">
        <v>139</v>
      </c>
    </row>
    <row r="26" spans="1:3" ht="25.5" x14ac:dyDescent="0.2">
      <c r="A26" s="242"/>
      <c r="B26" s="303" t="s">
        <v>140</v>
      </c>
    </row>
    <row r="27" spans="1:3" ht="18.75" customHeight="1" x14ac:dyDescent="0.2">
      <c r="A27" s="240">
        <v>3</v>
      </c>
      <c r="B27" s="241" t="s">
        <v>141</v>
      </c>
    </row>
    <row r="28" spans="1:3" x14ac:dyDescent="0.2">
      <c r="A28" s="244"/>
      <c r="B28" s="237" t="s">
        <v>363</v>
      </c>
    </row>
    <row r="29" spans="1:3" x14ac:dyDescent="0.2">
      <c r="A29" s="244"/>
      <c r="B29" s="278"/>
    </row>
    <row r="30" spans="1:3" x14ac:dyDescent="0.2">
      <c r="A30" s="244"/>
      <c r="B30" s="278" t="s">
        <v>149</v>
      </c>
    </row>
    <row r="31" spans="1:3" x14ac:dyDescent="0.2">
      <c r="A31" s="244"/>
      <c r="B31" s="281" t="s">
        <v>364</v>
      </c>
    </row>
    <row r="32" spans="1:3" x14ac:dyDescent="0.2">
      <c r="A32" s="242"/>
      <c r="B32" s="245"/>
    </row>
    <row r="33" spans="1:2" ht="18.75" customHeight="1" x14ac:dyDescent="0.2">
      <c r="A33" s="240">
        <v>4</v>
      </c>
      <c r="B33" s="241" t="s">
        <v>142</v>
      </c>
    </row>
    <row r="34" spans="1:2" x14ac:dyDescent="0.2">
      <c r="A34" s="244"/>
      <c r="B34" s="236" t="s">
        <v>432</v>
      </c>
    </row>
    <row r="35" spans="1:2" x14ac:dyDescent="0.2">
      <c r="A35" s="244"/>
      <c r="B35" s="236" t="s">
        <v>365</v>
      </c>
    </row>
    <row r="36" spans="1:2" x14ac:dyDescent="0.2">
      <c r="A36" s="244"/>
      <c r="B36" s="234"/>
    </row>
    <row r="37" spans="1:2" x14ac:dyDescent="0.2">
      <c r="A37" s="244"/>
      <c r="B37" s="236"/>
    </row>
    <row r="38" spans="1:2" x14ac:dyDescent="0.2">
      <c r="A38" s="244"/>
      <c r="B38" s="234"/>
    </row>
    <row r="39" spans="1:2" x14ac:dyDescent="0.2">
      <c r="A39" s="242"/>
      <c r="B39" s="246"/>
    </row>
    <row r="40" spans="1:2" ht="18.75" customHeight="1" x14ac:dyDescent="0.2">
      <c r="A40" s="240">
        <v>5</v>
      </c>
      <c r="B40" s="241" t="s">
        <v>143</v>
      </c>
    </row>
    <row r="41" spans="1:2" x14ac:dyDescent="0.2">
      <c r="A41" s="244"/>
      <c r="B41" s="247" t="s">
        <v>144</v>
      </c>
    </row>
  </sheetData>
  <mergeCells count="2">
    <mergeCell ref="A1:B1"/>
    <mergeCell ref="A2:B2"/>
  </mergeCells>
  <phoneticPr fontId="52"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J27" sqref="J27"/>
    </sheetView>
  </sheetViews>
  <sheetFormatPr defaultColWidth="9.140625" defaultRowHeight="12.75" x14ac:dyDescent="0.2"/>
  <cols>
    <col min="1" max="1" width="3" style="763" customWidth="1"/>
    <col min="2" max="2" width="20.28515625" style="759" customWidth="1"/>
    <col min="3" max="3" width="15.28515625" style="759" customWidth="1"/>
    <col min="4" max="4" width="18.42578125" style="759" customWidth="1"/>
    <col min="5" max="5" width="14.85546875" style="759" customWidth="1"/>
    <col min="6" max="16384" width="9.140625" style="759"/>
  </cols>
  <sheetData>
    <row r="1" spans="1:7" x14ac:dyDescent="0.2">
      <c r="A1" s="322"/>
      <c r="B1" s="323"/>
      <c r="C1" s="323"/>
      <c r="D1" s="323"/>
      <c r="E1" s="324"/>
    </row>
    <row r="2" spans="1:7" s="768" customFormat="1" ht="15" x14ac:dyDescent="0.25">
      <c r="A2" s="764">
        <v>1</v>
      </c>
      <c r="B2" s="765" t="s">
        <v>115</v>
      </c>
      <c r="C2" s="765"/>
      <c r="D2" s="766"/>
      <c r="E2" s="767"/>
    </row>
    <row r="3" spans="1:7" x14ac:dyDescent="0.2">
      <c r="A3" s="326"/>
      <c r="B3" s="1509" t="s">
        <v>448</v>
      </c>
      <c r="C3" s="1510"/>
      <c r="D3" s="1511"/>
      <c r="E3" s="327"/>
      <c r="F3" s="760"/>
    </row>
    <row r="4" spans="1:7" x14ac:dyDescent="0.2">
      <c r="A4" s="326"/>
      <c r="B4" s="321"/>
      <c r="C4" s="321"/>
      <c r="D4" s="321"/>
      <c r="E4" s="325"/>
    </row>
    <row r="5" spans="1:7" s="768" customFormat="1" ht="15" x14ac:dyDescent="0.25">
      <c r="A5" s="764">
        <v>2</v>
      </c>
      <c r="B5" s="765" t="s">
        <v>114</v>
      </c>
      <c r="C5" s="765"/>
      <c r="D5" s="766"/>
      <c r="E5" s="767"/>
    </row>
    <row r="6" spans="1:7" x14ac:dyDescent="0.2">
      <c r="A6" s="326"/>
      <c r="B6" s="328" t="s">
        <v>53</v>
      </c>
      <c r="C6" s="757">
        <v>7.4999999999999997E-2</v>
      </c>
      <c r="D6" s="321"/>
      <c r="E6" s="325"/>
    </row>
    <row r="7" spans="1:7" x14ac:dyDescent="0.2">
      <c r="A7" s="326"/>
      <c r="B7" s="328" t="s">
        <v>54</v>
      </c>
      <c r="C7" s="758" t="s">
        <v>111</v>
      </c>
      <c r="D7" s="321"/>
      <c r="E7" s="325"/>
    </row>
    <row r="8" spans="1:7" x14ac:dyDescent="0.2">
      <c r="A8" s="326"/>
      <c r="B8" s="329"/>
      <c r="C8" s="329"/>
      <c r="D8" s="329"/>
      <c r="E8" s="330"/>
    </row>
    <row r="9" spans="1:7" s="768" customFormat="1" ht="15" x14ac:dyDescent="0.25">
      <c r="A9" s="764">
        <v>3</v>
      </c>
      <c r="B9" s="769" t="s">
        <v>201</v>
      </c>
      <c r="C9" s="769"/>
      <c r="D9" s="766"/>
      <c r="E9" s="767"/>
    </row>
    <row r="10" spans="1:7" x14ac:dyDescent="0.2">
      <c r="A10" s="326"/>
      <c r="B10" s="321"/>
      <c r="C10" s="321"/>
      <c r="D10" s="321"/>
      <c r="E10" s="325"/>
    </row>
    <row r="11" spans="1:7" x14ac:dyDescent="0.2">
      <c r="A11" s="326"/>
      <c r="B11" s="321"/>
      <c r="C11" s="321"/>
      <c r="D11" s="321"/>
      <c r="E11" s="325"/>
    </row>
    <row r="12" spans="1:7" x14ac:dyDescent="0.2">
      <c r="A12" s="753"/>
      <c r="B12" s="321"/>
      <c r="C12" s="321"/>
      <c r="D12" s="321"/>
      <c r="E12" s="325"/>
    </row>
    <row r="13" spans="1:7" x14ac:dyDescent="0.2">
      <c r="A13" s="753"/>
      <c r="B13" s="751"/>
      <c r="C13" s="321"/>
      <c r="D13" s="331"/>
      <c r="E13" s="325"/>
    </row>
    <row r="14" spans="1:7" x14ac:dyDescent="0.2">
      <c r="A14" s="326"/>
      <c r="B14" s="751"/>
      <c r="C14" s="328" t="s">
        <v>245</v>
      </c>
      <c r="D14" s="755">
        <v>44139.616446759261</v>
      </c>
      <c r="E14" s="325"/>
    </row>
    <row r="15" spans="1:7" x14ac:dyDescent="0.2">
      <c r="A15" s="326"/>
      <c r="B15" s="751"/>
      <c r="C15" s="328" t="s">
        <v>246</v>
      </c>
      <c r="D15" s="755">
        <v>44139.616446759261</v>
      </c>
      <c r="E15" s="325"/>
      <c r="G15" s="761"/>
    </row>
    <row r="16" spans="1:7" x14ac:dyDescent="0.2">
      <c r="A16" s="326"/>
      <c r="B16" s="751"/>
      <c r="C16" s="328" t="s">
        <v>247</v>
      </c>
      <c r="D16" s="755">
        <v>44139.61645833333</v>
      </c>
      <c r="E16" s="325"/>
      <c r="G16" s="761"/>
    </row>
    <row r="17" spans="1:7" x14ac:dyDescent="0.2">
      <c r="A17" s="326"/>
      <c r="B17" s="751"/>
      <c r="C17" s="328" t="s">
        <v>248</v>
      </c>
      <c r="D17" s="755">
        <v>44139.61645833333</v>
      </c>
      <c r="E17" s="325"/>
      <c r="G17" s="761"/>
    </row>
    <row r="18" spans="1:7" x14ac:dyDescent="0.2">
      <c r="A18" s="684"/>
      <c r="B18" s="752"/>
      <c r="C18" s="754" t="s">
        <v>200</v>
      </c>
      <c r="D18" s="756">
        <v>44139.61645833333</v>
      </c>
      <c r="E18" s="685"/>
      <c r="G18" s="761"/>
    </row>
    <row r="19" spans="1:7" x14ac:dyDescent="0.2">
      <c r="A19" s="684"/>
      <c r="B19" s="752"/>
      <c r="C19" s="754" t="s">
        <v>199</v>
      </c>
      <c r="D19" s="756">
        <v>44139.616469907407</v>
      </c>
      <c r="E19" s="685"/>
      <c r="G19" s="762"/>
    </row>
    <row r="20" spans="1:7" x14ac:dyDescent="0.2">
      <c r="A20" s="683"/>
      <c r="B20" s="686"/>
      <c r="C20" s="686"/>
      <c r="D20" s="686"/>
      <c r="E20" s="687"/>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abSelected="1" topLeftCell="A19" zoomScaleNormal="100" workbookViewId="0">
      <selection activeCell="D37" sqref="D37"/>
    </sheetView>
  </sheetViews>
  <sheetFormatPr defaultColWidth="9.140625" defaultRowHeight="12.75" x14ac:dyDescent="0.2"/>
  <cols>
    <col min="1" max="1" width="1.5703125" style="343" customWidth="1"/>
    <col min="2" max="2" width="8.28515625" style="343" customWidth="1"/>
    <col min="3" max="4" width="9.5703125" style="343" customWidth="1"/>
    <col min="5" max="5" width="8.7109375" style="345" bestFit="1" customWidth="1"/>
    <col min="6" max="6" width="9" style="343" customWidth="1"/>
    <col min="7" max="7" width="8.7109375" style="345" bestFit="1" customWidth="1"/>
    <col min="8" max="8" width="9.28515625" style="343" customWidth="1"/>
    <col min="9" max="9" width="8.7109375" style="343" bestFit="1" customWidth="1"/>
    <col min="10" max="10" width="8.85546875" style="343" customWidth="1"/>
    <col min="11" max="11" width="8.7109375" style="343" bestFit="1" customWidth="1"/>
    <col min="12" max="12" width="7.85546875" style="343" customWidth="1"/>
    <col min="13" max="13" width="8.7109375" style="343" bestFit="1" customWidth="1"/>
    <col min="14" max="14" width="7.140625" style="343" customWidth="1"/>
    <col min="15" max="15" width="8.7109375" style="343" bestFit="1" customWidth="1"/>
    <col min="16" max="16" width="9.28515625" style="343" customWidth="1"/>
    <col min="17" max="17" width="8.7109375" style="343" bestFit="1" customWidth="1"/>
    <col min="18" max="18" width="9.85546875" style="343" customWidth="1"/>
    <col min="19" max="19" width="9" style="343" customWidth="1"/>
    <col min="20" max="20" width="7.85546875" style="343" customWidth="1"/>
    <col min="21" max="21" width="8.7109375" style="343" bestFit="1" customWidth="1"/>
    <col min="22" max="22" width="7.42578125" style="343" customWidth="1"/>
    <col min="23" max="23" width="8.7109375" style="343" bestFit="1" customWidth="1"/>
    <col min="24" max="24" width="7.85546875" style="343" customWidth="1"/>
    <col min="25" max="25" width="7.140625" style="343" customWidth="1"/>
    <col min="26" max="26" width="8.42578125" style="343" customWidth="1"/>
    <col min="27" max="27" width="7.140625" style="343" customWidth="1"/>
    <col min="28" max="28" width="9.140625" style="343" customWidth="1"/>
    <col min="29" max="29" width="7.42578125" style="343" customWidth="1"/>
    <col min="30" max="30" width="8.5703125" style="343" customWidth="1"/>
    <col min="31" max="31" width="5.85546875" style="343" customWidth="1"/>
    <col min="32" max="32" width="7.85546875" style="343" customWidth="1"/>
    <col min="33" max="33" width="4.42578125" style="343" hidden="1" customWidth="1"/>
    <col min="34" max="34" width="6.5703125" style="343" hidden="1" customWidth="1"/>
    <col min="35" max="46" width="7.140625" style="343" hidden="1" customWidth="1"/>
    <col min="47" max="58" width="6.5703125" style="343" hidden="1" customWidth="1"/>
    <col min="59" max="67" width="0" style="343" hidden="1" customWidth="1"/>
    <col min="68" max="16384" width="9.140625" style="343"/>
  </cols>
  <sheetData>
    <row r="1" spans="2:27" s="385" customFormat="1" ht="15.75" x14ac:dyDescent="0.25">
      <c r="B1" s="618" t="s">
        <v>241</v>
      </c>
      <c r="C1" s="619"/>
      <c r="D1" s="619"/>
      <c r="E1" s="620"/>
      <c r="F1" s="619"/>
      <c r="G1" s="620"/>
    </row>
    <row r="2" spans="2:27" ht="5.25" customHeight="1" x14ac:dyDescent="0.25">
      <c r="B2" s="346"/>
      <c r="C2" s="344"/>
      <c r="D2" s="344"/>
      <c r="F2" s="344"/>
    </row>
    <row r="3" spans="2:27" x14ac:dyDescent="0.2">
      <c r="B3" s="344" t="s">
        <v>227</v>
      </c>
      <c r="D3" s="958" t="s">
        <v>228</v>
      </c>
      <c r="E3" s="1222">
        <v>250</v>
      </c>
    </row>
    <row r="4" spans="2:27" x14ac:dyDescent="0.2">
      <c r="B4" s="344"/>
      <c r="D4" s="958"/>
      <c r="E4" s="617"/>
    </row>
    <row r="5" spans="2:27" ht="15.75" thickBot="1" x14ac:dyDescent="0.3">
      <c r="B5" s="347" t="s">
        <v>74</v>
      </c>
      <c r="E5" s="343"/>
      <c r="G5" s="343"/>
      <c r="N5" s="348"/>
      <c r="O5" s="348"/>
    </row>
    <row r="6" spans="2:27" ht="24" customHeight="1" x14ac:dyDescent="0.2">
      <c r="B6" s="349"/>
      <c r="C6" s="350"/>
      <c r="D6" s="351"/>
      <c r="E6" s="351"/>
      <c r="F6" s="350"/>
      <c r="G6" s="350"/>
      <c r="H6" s="680"/>
      <c r="I6" s="450"/>
      <c r="J6" s="1512" t="s">
        <v>76</v>
      </c>
      <c r="K6" s="1513"/>
      <c r="L6" s="1520" t="s">
        <v>83</v>
      </c>
      <c r="M6" s="1513"/>
      <c r="N6" s="1512" t="s">
        <v>109</v>
      </c>
      <c r="O6" s="1513"/>
    </row>
    <row r="7" spans="2:27" ht="27" customHeight="1" thickBot="1" x14ac:dyDescent="0.3">
      <c r="B7" s="352"/>
      <c r="C7" s="449" t="s">
        <v>75</v>
      </c>
      <c r="D7" s="447"/>
      <c r="E7" s="448"/>
      <c r="F7" s="452" t="s">
        <v>211</v>
      </c>
      <c r="G7" s="452" t="s">
        <v>210</v>
      </c>
      <c r="H7" s="681" t="s">
        <v>264</v>
      </c>
      <c r="I7" s="451" t="s">
        <v>81</v>
      </c>
      <c r="J7" s="453" t="s">
        <v>280</v>
      </c>
      <c r="K7" s="454" t="s">
        <v>281</v>
      </c>
      <c r="L7" s="353" t="s">
        <v>113</v>
      </c>
      <c r="M7" s="354" t="s">
        <v>84</v>
      </c>
      <c r="N7" s="355" t="s">
        <v>95</v>
      </c>
      <c r="O7" s="356" t="s">
        <v>112</v>
      </c>
      <c r="P7" s="357"/>
    </row>
    <row r="8" spans="2:27" ht="13.5" thickTop="1" x14ac:dyDescent="0.2">
      <c r="B8" s="358" t="s">
        <v>69</v>
      </c>
      <c r="C8" s="1223" t="s">
        <v>183</v>
      </c>
      <c r="D8" s="1224"/>
      <c r="E8" s="1225"/>
      <c r="F8" s="1226" t="s">
        <v>5</v>
      </c>
      <c r="G8" s="1226" t="s">
        <v>229</v>
      </c>
      <c r="H8" s="740" t="b">
        <f>IF(AND(F8="Electricity",G8="N/A"),TRUE,FALSE)</f>
        <v>0</v>
      </c>
      <c r="I8" s="359"/>
      <c r="J8" s="360"/>
      <c r="K8" s="361"/>
      <c r="L8" s="362"/>
      <c r="M8" s="363"/>
      <c r="N8" s="1257">
        <v>0</v>
      </c>
      <c r="O8" s="1258">
        <v>350</v>
      </c>
      <c r="P8" s="364"/>
    </row>
    <row r="9" spans="2:27" x14ac:dyDescent="0.2">
      <c r="B9" s="365" t="s">
        <v>65</v>
      </c>
      <c r="C9" s="1227" t="s">
        <v>325</v>
      </c>
      <c r="D9" s="1228"/>
      <c r="E9" s="1229"/>
      <c r="F9" s="1230" t="s">
        <v>5</v>
      </c>
      <c r="G9" s="1230" t="s">
        <v>229</v>
      </c>
      <c r="H9" s="741" t="b">
        <f t="shared" ref="H9:H13" si="0">IF(AND(F9="Electricity",G9="N/A"),TRUE,FALSE)</f>
        <v>0</v>
      </c>
      <c r="I9" s="1238">
        <v>2025</v>
      </c>
      <c r="J9" s="1239">
        <v>0</v>
      </c>
      <c r="K9" s="1240">
        <v>0.5</v>
      </c>
      <c r="L9" s="1241">
        <v>5</v>
      </c>
      <c r="M9" s="1242">
        <v>5</v>
      </c>
      <c r="N9" s="1243">
        <v>0</v>
      </c>
      <c r="O9" s="1244">
        <v>350</v>
      </c>
      <c r="R9" s="386"/>
    </row>
    <row r="10" spans="2:27" x14ac:dyDescent="0.2">
      <c r="B10" s="365" t="s">
        <v>66</v>
      </c>
      <c r="C10" s="1227" t="s">
        <v>319</v>
      </c>
      <c r="D10" s="1228"/>
      <c r="E10" s="1229"/>
      <c r="F10" s="1230" t="s">
        <v>5</v>
      </c>
      <c r="G10" s="1230" t="s">
        <v>229</v>
      </c>
      <c r="H10" s="741" t="b">
        <f t="shared" si="0"/>
        <v>0</v>
      </c>
      <c r="I10" s="1238">
        <v>2025</v>
      </c>
      <c r="J10" s="1239">
        <v>0</v>
      </c>
      <c r="K10" s="1240">
        <v>0.5</v>
      </c>
      <c r="L10" s="1241">
        <v>5</v>
      </c>
      <c r="M10" s="1242">
        <v>5</v>
      </c>
      <c r="N10" s="1243">
        <v>0</v>
      </c>
      <c r="O10" s="1244">
        <v>350</v>
      </c>
    </row>
    <row r="11" spans="2:27" x14ac:dyDescent="0.2">
      <c r="B11" s="389" t="s">
        <v>67</v>
      </c>
      <c r="C11" s="1227" t="s">
        <v>321</v>
      </c>
      <c r="D11" s="1231"/>
      <c r="E11" s="1232"/>
      <c r="F11" s="1233" t="s">
        <v>6</v>
      </c>
      <c r="G11" s="1233" t="s">
        <v>229</v>
      </c>
      <c r="H11" s="742" t="b">
        <f t="shared" si="0"/>
        <v>1</v>
      </c>
      <c r="I11" s="1238">
        <v>2025</v>
      </c>
      <c r="J11" s="1239">
        <v>0</v>
      </c>
      <c r="K11" s="1245">
        <v>0.5</v>
      </c>
      <c r="L11" s="1246">
        <v>5</v>
      </c>
      <c r="M11" s="1247">
        <v>5</v>
      </c>
      <c r="N11" s="1248">
        <v>0</v>
      </c>
      <c r="O11" s="1249">
        <v>350</v>
      </c>
      <c r="P11" s="344"/>
    </row>
    <row r="12" spans="2:27" x14ac:dyDescent="0.2">
      <c r="B12" s="389" t="s">
        <v>205</v>
      </c>
      <c r="C12" s="1227" t="s">
        <v>441</v>
      </c>
      <c r="D12" s="1231"/>
      <c r="E12" s="1232"/>
      <c r="F12" s="1233" t="s">
        <v>207</v>
      </c>
      <c r="G12" s="1233" t="s">
        <v>229</v>
      </c>
      <c r="H12" s="742" t="b">
        <f t="shared" si="0"/>
        <v>0</v>
      </c>
      <c r="I12" s="1238">
        <v>2025</v>
      </c>
      <c r="J12" s="1239">
        <v>0</v>
      </c>
      <c r="K12" s="1245">
        <v>0.5</v>
      </c>
      <c r="L12" s="1246">
        <v>5</v>
      </c>
      <c r="M12" s="1247">
        <v>5</v>
      </c>
      <c r="N12" s="1248">
        <v>0</v>
      </c>
      <c r="O12" s="1249">
        <v>350</v>
      </c>
    </row>
    <row r="13" spans="2:27" ht="13.5" thickBot="1" x14ac:dyDescent="0.25">
      <c r="B13" s="366" t="s">
        <v>206</v>
      </c>
      <c r="C13" s="1234" t="s">
        <v>320</v>
      </c>
      <c r="D13" s="1235"/>
      <c r="E13" s="1236"/>
      <c r="F13" s="1237" t="s">
        <v>5</v>
      </c>
      <c r="G13" s="1237" t="s">
        <v>6</v>
      </c>
      <c r="H13" s="743" t="b">
        <f t="shared" si="0"/>
        <v>0</v>
      </c>
      <c r="I13" s="1250">
        <v>2025</v>
      </c>
      <c r="J13" s="1251">
        <v>0</v>
      </c>
      <c r="K13" s="1252">
        <v>0.5</v>
      </c>
      <c r="L13" s="1253">
        <v>5</v>
      </c>
      <c r="M13" s="1254">
        <v>5</v>
      </c>
      <c r="N13" s="1255">
        <v>0</v>
      </c>
      <c r="O13" s="1256">
        <v>350</v>
      </c>
    </row>
    <row r="14" spans="2:27" ht="15.75" x14ac:dyDescent="0.25">
      <c r="B14" s="346"/>
      <c r="C14" s="343" t="s">
        <v>265</v>
      </c>
      <c r="D14" s="344"/>
      <c r="F14" s="344"/>
    </row>
    <row r="15" spans="2:27" ht="15.75" thickBot="1" x14ac:dyDescent="0.25">
      <c r="B15" s="367" t="s">
        <v>119</v>
      </c>
      <c r="C15" s="368"/>
      <c r="D15" s="344"/>
      <c r="F15" s="344"/>
    </row>
    <row r="16" spans="2:27" ht="13.5" thickBot="1" x14ac:dyDescent="0.25">
      <c r="B16" s="369"/>
      <c r="C16" s="368"/>
      <c r="D16" s="344"/>
      <c r="F16" s="344"/>
      <c r="T16" s="616" t="s">
        <v>230</v>
      </c>
      <c r="U16" s="343" t="s">
        <v>231</v>
      </c>
      <c r="Z16" s="748"/>
      <c r="AA16" s="343" t="s">
        <v>262</v>
      </c>
    </row>
    <row r="17" spans="2:31" x14ac:dyDescent="0.2">
      <c r="B17" s="369"/>
      <c r="C17" s="1340"/>
      <c r="G17" s="1341"/>
      <c r="H17" s="1342"/>
      <c r="I17" s="1343"/>
      <c r="J17" s="1343"/>
      <c r="K17" s="1342"/>
      <c r="L17" s="1342"/>
      <c r="M17" s="1342"/>
      <c r="N17" s="1342"/>
      <c r="O17" s="1342"/>
      <c r="P17" s="1342"/>
      <c r="U17" s="343" t="s">
        <v>232</v>
      </c>
      <c r="AA17" s="343" t="s">
        <v>263</v>
      </c>
    </row>
    <row r="18" spans="2:31" ht="13.5" thickBot="1" x14ac:dyDescent="0.25">
      <c r="B18" s="1344"/>
      <c r="C18" s="1345"/>
      <c r="F18" s="1345"/>
      <c r="G18" s="1341"/>
      <c r="H18" s="1342"/>
      <c r="I18" s="1343"/>
      <c r="J18" s="1343"/>
      <c r="K18" s="1342"/>
      <c r="L18" s="1342"/>
      <c r="M18" s="1342"/>
      <c r="N18" s="1342"/>
      <c r="O18" s="1342"/>
      <c r="P18" s="1342"/>
      <c r="Z18" s="1339" t="s">
        <v>411</v>
      </c>
    </row>
    <row r="19" spans="2:31" ht="16.5" thickBot="1" x14ac:dyDescent="0.3">
      <c r="B19" s="595"/>
      <c r="C19" s="1514" t="s">
        <v>221</v>
      </c>
      <c r="D19" s="1515"/>
      <c r="E19" s="1515"/>
      <c r="F19" s="1515"/>
      <c r="G19" s="1515"/>
      <c r="H19" s="1515"/>
      <c r="I19" s="1515" t="s">
        <v>222</v>
      </c>
      <c r="J19" s="1515"/>
      <c r="K19" s="1515"/>
      <c r="L19" s="1515"/>
      <c r="M19" s="1516"/>
      <c r="N19" s="1517" t="s">
        <v>316</v>
      </c>
      <c r="O19" s="1518"/>
      <c r="P19" s="1518"/>
      <c r="Q19" s="1518"/>
      <c r="R19" s="1518"/>
      <c r="S19" s="1519"/>
      <c r="T19" s="1517" t="s">
        <v>317</v>
      </c>
      <c r="U19" s="1518"/>
      <c r="V19" s="1518"/>
      <c r="W19" s="1518"/>
      <c r="X19" s="1518"/>
      <c r="Y19" s="1519"/>
      <c r="Z19" s="1517" t="s">
        <v>226</v>
      </c>
      <c r="AA19" s="1518"/>
      <c r="AB19" s="1518"/>
      <c r="AC19" s="1518"/>
      <c r="AD19" s="1518"/>
      <c r="AE19" s="1519"/>
    </row>
    <row r="20" spans="2:31" ht="13.5" thickBot="1" x14ac:dyDescent="0.25">
      <c r="B20" s="607" t="s">
        <v>225</v>
      </c>
      <c r="C20" s="610" t="s">
        <v>69</v>
      </c>
      <c r="D20" s="596" t="s">
        <v>65</v>
      </c>
      <c r="E20" s="597" t="s">
        <v>66</v>
      </c>
      <c r="F20" s="596" t="s">
        <v>67</v>
      </c>
      <c r="G20" s="597" t="s">
        <v>205</v>
      </c>
      <c r="H20" s="596" t="s">
        <v>206</v>
      </c>
      <c r="I20" s="596" t="s">
        <v>65</v>
      </c>
      <c r="J20" s="597" t="s">
        <v>66</v>
      </c>
      <c r="K20" s="596" t="s">
        <v>67</v>
      </c>
      <c r="L20" s="597" t="s">
        <v>205</v>
      </c>
      <c r="M20" s="611" t="s">
        <v>206</v>
      </c>
      <c r="N20" s="612" t="s">
        <v>69</v>
      </c>
      <c r="O20" s="598" t="s">
        <v>65</v>
      </c>
      <c r="P20" s="599" t="s">
        <v>66</v>
      </c>
      <c r="Q20" s="598" t="s">
        <v>67</v>
      </c>
      <c r="R20" s="599" t="s">
        <v>205</v>
      </c>
      <c r="S20" s="600" t="s">
        <v>206</v>
      </c>
      <c r="T20" s="1126" t="s">
        <v>69</v>
      </c>
      <c r="U20" s="598" t="s">
        <v>65</v>
      </c>
      <c r="V20" s="599" t="s">
        <v>66</v>
      </c>
      <c r="W20" s="598" t="s">
        <v>67</v>
      </c>
      <c r="X20" s="599" t="s">
        <v>205</v>
      </c>
      <c r="Y20" s="600" t="s">
        <v>206</v>
      </c>
      <c r="Z20" s="598" t="s">
        <v>69</v>
      </c>
      <c r="AA20" s="598" t="s">
        <v>65</v>
      </c>
      <c r="AB20" s="599" t="s">
        <v>66</v>
      </c>
      <c r="AC20" s="598" t="s">
        <v>67</v>
      </c>
      <c r="AD20" s="599" t="s">
        <v>205</v>
      </c>
      <c r="AE20" s="600" t="s">
        <v>206</v>
      </c>
    </row>
    <row r="21" spans="2:31" ht="13.5" thickBot="1" x14ac:dyDescent="0.25">
      <c r="B21" s="608" t="s">
        <v>3</v>
      </c>
      <c r="C21" s="609"/>
      <c r="D21" s="1333" t="str">
        <f>INDEX($C$9:$C$13,MATCH(D20,$B$9:$B$13,0))</f>
        <v>Adv Conv</v>
      </c>
      <c r="E21" s="1333" t="str">
        <f t="shared" ref="E21:H21" si="1">INDEX($C$9:$C$13,MATCH(E20,$B$9:$B$13,0))</f>
        <v>HEV</v>
      </c>
      <c r="F21" s="1333" t="str">
        <f t="shared" si="1"/>
        <v>BEV</v>
      </c>
      <c r="G21" s="1333" t="str">
        <f t="shared" si="1"/>
        <v>FCEV</v>
      </c>
      <c r="H21" s="1334" t="str">
        <f t="shared" si="1"/>
        <v>PHEV</v>
      </c>
      <c r="I21" s="1274">
        <v>0</v>
      </c>
      <c r="J21" s="1275">
        <v>0</v>
      </c>
      <c r="K21" s="1275">
        <v>0</v>
      </c>
      <c r="L21" s="1275">
        <v>0</v>
      </c>
      <c r="M21" s="1276">
        <v>0</v>
      </c>
      <c r="N21" s="601"/>
      <c r="O21" s="1333" t="str">
        <f>INDEX($C$9:$C$13,MATCH(O20,$B$9:$B$13,0))</f>
        <v>Adv Conv</v>
      </c>
      <c r="P21" s="1333" t="str">
        <f t="shared" ref="P21:S21" si="2">INDEX($C$9:$C$13,MATCH(P20,$B$9:$B$13,0))</f>
        <v>HEV</v>
      </c>
      <c r="Q21" s="1333" t="str">
        <f t="shared" si="2"/>
        <v>BEV</v>
      </c>
      <c r="R21" s="1333" t="str">
        <f t="shared" si="2"/>
        <v>FCEV</v>
      </c>
      <c r="S21" s="1334" t="str">
        <f t="shared" si="2"/>
        <v>PHEV</v>
      </c>
      <c r="T21" s="602"/>
      <c r="U21" s="1333" t="str">
        <f>INDEX($C$9:$C$13,MATCH(U20,$B$9:$B$13,0))</f>
        <v>Adv Conv</v>
      </c>
      <c r="V21" s="1333" t="str">
        <f t="shared" ref="V21:Y21" si="3">INDEX($C$9:$C$13,MATCH(V20,$B$9:$B$13,0))</f>
        <v>HEV</v>
      </c>
      <c r="W21" s="1333" t="str">
        <f t="shared" si="3"/>
        <v>BEV</v>
      </c>
      <c r="X21" s="1333" t="str">
        <f t="shared" si="3"/>
        <v>FCEV</v>
      </c>
      <c r="Y21" s="1334" t="str">
        <f t="shared" si="3"/>
        <v>PHEV</v>
      </c>
      <c r="Z21" s="601"/>
      <c r="AA21" s="1333" t="str">
        <f>INDEX($C$9:$C$13,MATCH(AA20,$B$9:$B$13,0))</f>
        <v>Adv Conv</v>
      </c>
      <c r="AB21" s="1333" t="str">
        <f t="shared" ref="AB21:AE21" si="4">INDEX($C$9:$C$13,MATCH(AB20,$B$9:$B$13,0))</f>
        <v>HEV</v>
      </c>
      <c r="AC21" s="1333" t="str">
        <f t="shared" si="4"/>
        <v>BEV</v>
      </c>
      <c r="AD21" s="1333" t="str">
        <f t="shared" si="4"/>
        <v>FCEV</v>
      </c>
      <c r="AE21" s="1334" t="str">
        <f t="shared" si="4"/>
        <v>PHEV</v>
      </c>
    </row>
    <row r="22" spans="2:31" x14ac:dyDescent="0.2">
      <c r="B22" s="374">
        <v>2007</v>
      </c>
      <c r="C22" s="1259">
        <v>151412</v>
      </c>
      <c r="D22" s="1260">
        <v>1000000</v>
      </c>
      <c r="E22" s="1260">
        <v>1000000</v>
      </c>
      <c r="F22" s="1260">
        <v>1000000</v>
      </c>
      <c r="G22" s="1260">
        <v>1000000</v>
      </c>
      <c r="H22" s="1261">
        <v>1000000</v>
      </c>
      <c r="I22" s="1200">
        <f>D22*I$21</f>
        <v>0</v>
      </c>
      <c r="J22" s="375">
        <f t="shared" ref="J22:K37" si="5">E22*J$21</f>
        <v>0</v>
      </c>
      <c r="K22" s="375">
        <f t="shared" si="5"/>
        <v>0</v>
      </c>
      <c r="L22" s="375">
        <f t="shared" ref="L22:M37" si="6">G22*L$21</f>
        <v>0</v>
      </c>
      <c r="M22" s="1205">
        <f t="shared" si="6"/>
        <v>0</v>
      </c>
      <c r="N22" s="1277">
        <v>5.9278738513698928</v>
      </c>
      <c r="O22" s="1278">
        <v>1</v>
      </c>
      <c r="P22" s="1278">
        <v>1</v>
      </c>
      <c r="Q22" s="1278">
        <v>1</v>
      </c>
      <c r="R22" s="1278">
        <v>1</v>
      </c>
      <c r="S22" s="1279">
        <v>1</v>
      </c>
      <c r="T22" s="1280">
        <v>1</v>
      </c>
      <c r="U22" s="1281">
        <v>1</v>
      </c>
      <c r="V22" s="1281">
        <v>1</v>
      </c>
      <c r="W22" s="1281">
        <v>1</v>
      </c>
      <c r="X22" s="1281">
        <v>1</v>
      </c>
      <c r="Y22" s="1282">
        <v>1</v>
      </c>
      <c r="Z22" s="1280">
        <v>0</v>
      </c>
      <c r="AA22" s="1281">
        <v>0</v>
      </c>
      <c r="AB22" s="1281">
        <v>0</v>
      </c>
      <c r="AC22" s="1281">
        <v>0</v>
      </c>
      <c r="AD22" s="1281">
        <v>0</v>
      </c>
      <c r="AE22" s="1282">
        <v>0</v>
      </c>
    </row>
    <row r="23" spans="2:31" x14ac:dyDescent="0.2">
      <c r="B23" s="370">
        <v>2008</v>
      </c>
      <c r="C23" s="1262">
        <v>151412</v>
      </c>
      <c r="D23" s="1263">
        <v>1000000</v>
      </c>
      <c r="E23" s="1263">
        <v>1000000</v>
      </c>
      <c r="F23" s="1263">
        <v>1000000</v>
      </c>
      <c r="G23" s="1263">
        <v>1000000</v>
      </c>
      <c r="H23" s="1264">
        <v>1000000</v>
      </c>
      <c r="I23" s="1201">
        <f t="shared" ref="I23:I65" si="7">D23*I$21</f>
        <v>0</v>
      </c>
      <c r="J23" s="371">
        <f t="shared" ref="J23:J65" si="8">E23*J$21</f>
        <v>0</v>
      </c>
      <c r="K23" s="371">
        <f t="shared" si="5"/>
        <v>0</v>
      </c>
      <c r="L23" s="371">
        <f t="shared" si="6"/>
        <v>0</v>
      </c>
      <c r="M23" s="1206">
        <f t="shared" si="6"/>
        <v>0</v>
      </c>
      <c r="N23" s="1283">
        <v>5.9278738513698928</v>
      </c>
      <c r="O23" s="1284">
        <v>1</v>
      </c>
      <c r="P23" s="1284">
        <v>1</v>
      </c>
      <c r="Q23" s="1284">
        <v>1</v>
      </c>
      <c r="R23" s="1284">
        <v>1</v>
      </c>
      <c r="S23" s="1285">
        <v>1</v>
      </c>
      <c r="T23" s="1286">
        <v>1</v>
      </c>
      <c r="U23" s="1287">
        <v>1</v>
      </c>
      <c r="V23" s="1287">
        <v>1</v>
      </c>
      <c r="W23" s="1287">
        <v>1</v>
      </c>
      <c r="X23" s="1287">
        <v>1</v>
      </c>
      <c r="Y23" s="1288">
        <v>1</v>
      </c>
      <c r="Z23" s="1286">
        <v>0</v>
      </c>
      <c r="AA23" s="1287">
        <v>0</v>
      </c>
      <c r="AB23" s="1287">
        <v>0</v>
      </c>
      <c r="AC23" s="1287">
        <v>0</v>
      </c>
      <c r="AD23" s="1287">
        <v>0</v>
      </c>
      <c r="AE23" s="1288">
        <v>0</v>
      </c>
    </row>
    <row r="24" spans="2:31" x14ac:dyDescent="0.2">
      <c r="B24" s="370">
        <v>2009</v>
      </c>
      <c r="C24" s="1262">
        <v>151412</v>
      </c>
      <c r="D24" s="1263">
        <v>1000000</v>
      </c>
      <c r="E24" s="1263">
        <v>1000000</v>
      </c>
      <c r="F24" s="1263">
        <v>1000000</v>
      </c>
      <c r="G24" s="1263">
        <v>1000000</v>
      </c>
      <c r="H24" s="1264">
        <v>1000000</v>
      </c>
      <c r="I24" s="1201">
        <f t="shared" si="7"/>
        <v>0</v>
      </c>
      <c r="J24" s="371">
        <f t="shared" si="8"/>
        <v>0</v>
      </c>
      <c r="K24" s="371">
        <f t="shared" si="5"/>
        <v>0</v>
      </c>
      <c r="L24" s="371">
        <f t="shared" si="6"/>
        <v>0</v>
      </c>
      <c r="M24" s="1206">
        <f t="shared" si="6"/>
        <v>0</v>
      </c>
      <c r="N24" s="1283">
        <v>5.9278738513698928</v>
      </c>
      <c r="O24" s="1284">
        <v>1</v>
      </c>
      <c r="P24" s="1284">
        <v>1</v>
      </c>
      <c r="Q24" s="1284">
        <v>1</v>
      </c>
      <c r="R24" s="1284">
        <v>1</v>
      </c>
      <c r="S24" s="1285">
        <v>1</v>
      </c>
      <c r="T24" s="1286">
        <v>1</v>
      </c>
      <c r="U24" s="1287">
        <v>1</v>
      </c>
      <c r="V24" s="1287">
        <v>1</v>
      </c>
      <c r="W24" s="1287">
        <v>1</v>
      </c>
      <c r="X24" s="1287">
        <v>1</v>
      </c>
      <c r="Y24" s="1288">
        <v>1</v>
      </c>
      <c r="Z24" s="1286">
        <v>0</v>
      </c>
      <c r="AA24" s="1287">
        <v>0</v>
      </c>
      <c r="AB24" s="1287">
        <v>0</v>
      </c>
      <c r="AC24" s="1287">
        <v>0</v>
      </c>
      <c r="AD24" s="1287">
        <v>0</v>
      </c>
      <c r="AE24" s="1288">
        <v>0</v>
      </c>
    </row>
    <row r="25" spans="2:31" ht="13.5" thickBot="1" x14ac:dyDescent="0.25">
      <c r="B25" s="372">
        <v>2010</v>
      </c>
      <c r="C25" s="1265">
        <v>151412</v>
      </c>
      <c r="D25" s="1266">
        <v>1000000</v>
      </c>
      <c r="E25" s="1266">
        <v>1000000</v>
      </c>
      <c r="F25" s="1266">
        <v>1000000</v>
      </c>
      <c r="G25" s="1266">
        <v>1000000</v>
      </c>
      <c r="H25" s="1267">
        <v>1000000</v>
      </c>
      <c r="I25" s="1202">
        <f t="shared" si="7"/>
        <v>0</v>
      </c>
      <c r="J25" s="373">
        <f t="shared" si="8"/>
        <v>0</v>
      </c>
      <c r="K25" s="373">
        <f t="shared" si="5"/>
        <v>0</v>
      </c>
      <c r="L25" s="373">
        <f t="shared" si="6"/>
        <v>0</v>
      </c>
      <c r="M25" s="1207">
        <f t="shared" si="6"/>
        <v>0</v>
      </c>
      <c r="N25" s="1289">
        <v>5.6529804659012148</v>
      </c>
      <c r="O25" s="1290">
        <v>1</v>
      </c>
      <c r="P25" s="1290">
        <v>1</v>
      </c>
      <c r="Q25" s="1290">
        <v>1</v>
      </c>
      <c r="R25" s="1290">
        <v>1</v>
      </c>
      <c r="S25" s="1291">
        <v>1</v>
      </c>
      <c r="T25" s="1292">
        <v>1</v>
      </c>
      <c r="U25" s="1293">
        <v>1</v>
      </c>
      <c r="V25" s="1293">
        <v>1</v>
      </c>
      <c r="W25" s="1293">
        <v>1</v>
      </c>
      <c r="X25" s="1293">
        <v>1</v>
      </c>
      <c r="Y25" s="1294">
        <v>1</v>
      </c>
      <c r="Z25" s="1292">
        <v>0</v>
      </c>
      <c r="AA25" s="1293">
        <v>0</v>
      </c>
      <c r="AB25" s="1293">
        <v>0</v>
      </c>
      <c r="AC25" s="1293">
        <v>0</v>
      </c>
      <c r="AD25" s="1293">
        <v>0</v>
      </c>
      <c r="AE25" s="1294">
        <v>0</v>
      </c>
    </row>
    <row r="26" spans="2:31" x14ac:dyDescent="0.2">
      <c r="B26" s="374">
        <v>2011</v>
      </c>
      <c r="C26" s="1268">
        <v>151412</v>
      </c>
      <c r="D26" s="1269">
        <v>1000000</v>
      </c>
      <c r="E26" s="1269">
        <v>1000000</v>
      </c>
      <c r="F26" s="1269">
        <v>1000000</v>
      </c>
      <c r="G26" s="1269">
        <v>1000000</v>
      </c>
      <c r="H26" s="1270">
        <v>1000000</v>
      </c>
      <c r="I26" s="1200">
        <f t="shared" si="7"/>
        <v>0</v>
      </c>
      <c r="J26" s="375">
        <f t="shared" si="8"/>
        <v>0</v>
      </c>
      <c r="K26" s="375">
        <f t="shared" si="5"/>
        <v>0</v>
      </c>
      <c r="L26" s="375">
        <f t="shared" si="6"/>
        <v>0</v>
      </c>
      <c r="M26" s="1205">
        <f t="shared" si="6"/>
        <v>0</v>
      </c>
      <c r="N26" s="1295">
        <v>5.7697883792198912</v>
      </c>
      <c r="O26" s="1296">
        <v>1</v>
      </c>
      <c r="P26" s="1296">
        <v>1</v>
      </c>
      <c r="Q26" s="1296">
        <v>1</v>
      </c>
      <c r="R26" s="1296">
        <v>1</v>
      </c>
      <c r="S26" s="1297">
        <v>1</v>
      </c>
      <c r="T26" s="1298">
        <v>1</v>
      </c>
      <c r="U26" s="1299">
        <v>1</v>
      </c>
      <c r="V26" s="1299">
        <v>1</v>
      </c>
      <c r="W26" s="1299">
        <v>1</v>
      </c>
      <c r="X26" s="1299">
        <v>1</v>
      </c>
      <c r="Y26" s="1300">
        <v>1</v>
      </c>
      <c r="Z26" s="1298">
        <v>0</v>
      </c>
      <c r="AA26" s="1299">
        <v>0</v>
      </c>
      <c r="AB26" s="1299">
        <v>0</v>
      </c>
      <c r="AC26" s="1299">
        <v>0</v>
      </c>
      <c r="AD26" s="1299">
        <v>0</v>
      </c>
      <c r="AE26" s="1300">
        <v>0</v>
      </c>
    </row>
    <row r="27" spans="2:31" x14ac:dyDescent="0.2">
      <c r="B27" s="370">
        <v>2012</v>
      </c>
      <c r="C27" s="1262">
        <v>151412</v>
      </c>
      <c r="D27" s="1263">
        <v>1000000</v>
      </c>
      <c r="E27" s="1263">
        <v>1000000</v>
      </c>
      <c r="F27" s="1263">
        <v>1000000</v>
      </c>
      <c r="G27" s="1263">
        <v>1000000</v>
      </c>
      <c r="H27" s="1264">
        <v>1000000</v>
      </c>
      <c r="I27" s="1201">
        <f t="shared" si="7"/>
        <v>0</v>
      </c>
      <c r="J27" s="371">
        <f t="shared" si="8"/>
        <v>0</v>
      </c>
      <c r="K27" s="371">
        <f t="shared" si="5"/>
        <v>0</v>
      </c>
      <c r="L27" s="371">
        <f t="shared" si="6"/>
        <v>0</v>
      </c>
      <c r="M27" s="1206">
        <f t="shared" si="6"/>
        <v>0</v>
      </c>
      <c r="N27" s="1283">
        <v>5.8156338758937807</v>
      </c>
      <c r="O27" s="1284">
        <v>1</v>
      </c>
      <c r="P27" s="1284">
        <v>1</v>
      </c>
      <c r="Q27" s="1284">
        <v>1</v>
      </c>
      <c r="R27" s="1284">
        <v>1</v>
      </c>
      <c r="S27" s="1285">
        <v>1</v>
      </c>
      <c r="T27" s="1286">
        <v>1</v>
      </c>
      <c r="U27" s="1287">
        <v>1</v>
      </c>
      <c r="V27" s="1287">
        <v>1</v>
      </c>
      <c r="W27" s="1287">
        <v>1</v>
      </c>
      <c r="X27" s="1287">
        <v>1</v>
      </c>
      <c r="Y27" s="1288">
        <v>1</v>
      </c>
      <c r="Z27" s="1286">
        <v>0</v>
      </c>
      <c r="AA27" s="1287">
        <v>0</v>
      </c>
      <c r="AB27" s="1287">
        <v>0</v>
      </c>
      <c r="AC27" s="1287">
        <v>0</v>
      </c>
      <c r="AD27" s="1287">
        <v>0</v>
      </c>
      <c r="AE27" s="1288">
        <v>0</v>
      </c>
    </row>
    <row r="28" spans="2:31" x14ac:dyDescent="0.2">
      <c r="B28" s="370">
        <v>2013</v>
      </c>
      <c r="C28" s="1262">
        <v>151412</v>
      </c>
      <c r="D28" s="1263">
        <v>1000000</v>
      </c>
      <c r="E28" s="1263">
        <v>1000000</v>
      </c>
      <c r="F28" s="1263">
        <v>1000000</v>
      </c>
      <c r="G28" s="1263">
        <v>1000000</v>
      </c>
      <c r="H28" s="1264">
        <v>1000000</v>
      </c>
      <c r="I28" s="1201">
        <f t="shared" si="7"/>
        <v>0</v>
      </c>
      <c r="J28" s="371">
        <f t="shared" si="8"/>
        <v>0</v>
      </c>
      <c r="K28" s="371">
        <f t="shared" si="5"/>
        <v>0</v>
      </c>
      <c r="L28" s="371">
        <f t="shared" si="6"/>
        <v>0</v>
      </c>
      <c r="M28" s="1206">
        <f t="shared" si="6"/>
        <v>0</v>
      </c>
      <c r="N28" s="1283">
        <v>5.9244625288706905</v>
      </c>
      <c r="O28" s="1284">
        <v>1</v>
      </c>
      <c r="P28" s="1284">
        <v>1</v>
      </c>
      <c r="Q28" s="1284">
        <v>1</v>
      </c>
      <c r="R28" s="1284">
        <v>1</v>
      </c>
      <c r="S28" s="1285">
        <v>1</v>
      </c>
      <c r="T28" s="1286">
        <v>1</v>
      </c>
      <c r="U28" s="1287">
        <v>1</v>
      </c>
      <c r="V28" s="1287">
        <v>1</v>
      </c>
      <c r="W28" s="1287">
        <v>1</v>
      </c>
      <c r="X28" s="1287">
        <v>1</v>
      </c>
      <c r="Y28" s="1288">
        <v>1</v>
      </c>
      <c r="Z28" s="1286">
        <v>0</v>
      </c>
      <c r="AA28" s="1287">
        <v>0</v>
      </c>
      <c r="AB28" s="1287">
        <v>0</v>
      </c>
      <c r="AC28" s="1287">
        <v>0</v>
      </c>
      <c r="AD28" s="1287">
        <v>0</v>
      </c>
      <c r="AE28" s="1288">
        <v>0</v>
      </c>
    </row>
    <row r="29" spans="2:31" x14ac:dyDescent="0.2">
      <c r="B29" s="370">
        <v>2014</v>
      </c>
      <c r="C29" s="1262">
        <v>151412</v>
      </c>
      <c r="D29" s="1263">
        <v>1000000</v>
      </c>
      <c r="E29" s="1263">
        <v>1000000</v>
      </c>
      <c r="F29" s="1263">
        <v>1000000</v>
      </c>
      <c r="G29" s="1263">
        <v>1000000</v>
      </c>
      <c r="H29" s="1264">
        <v>1000000</v>
      </c>
      <c r="I29" s="1201">
        <f t="shared" si="7"/>
        <v>0</v>
      </c>
      <c r="J29" s="371">
        <f t="shared" si="8"/>
        <v>0</v>
      </c>
      <c r="K29" s="371">
        <f t="shared" si="5"/>
        <v>0</v>
      </c>
      <c r="L29" s="371">
        <f t="shared" si="6"/>
        <v>0</v>
      </c>
      <c r="M29" s="1206">
        <f t="shared" si="6"/>
        <v>0</v>
      </c>
      <c r="N29" s="1283">
        <v>6.0583595281689906</v>
      </c>
      <c r="O29" s="1284">
        <v>1</v>
      </c>
      <c r="P29" s="1284">
        <v>1</v>
      </c>
      <c r="Q29" s="1284">
        <v>1</v>
      </c>
      <c r="R29" s="1284">
        <v>1</v>
      </c>
      <c r="S29" s="1285">
        <v>1</v>
      </c>
      <c r="T29" s="1286">
        <v>1</v>
      </c>
      <c r="U29" s="1287">
        <v>1</v>
      </c>
      <c r="V29" s="1287">
        <v>1</v>
      </c>
      <c r="W29" s="1287">
        <v>1</v>
      </c>
      <c r="X29" s="1287">
        <v>1</v>
      </c>
      <c r="Y29" s="1288">
        <v>1</v>
      </c>
      <c r="Z29" s="1286">
        <v>0</v>
      </c>
      <c r="AA29" s="1287">
        <v>0</v>
      </c>
      <c r="AB29" s="1287">
        <v>0</v>
      </c>
      <c r="AC29" s="1287">
        <v>0</v>
      </c>
      <c r="AD29" s="1287">
        <v>0</v>
      </c>
      <c r="AE29" s="1288">
        <v>0</v>
      </c>
    </row>
    <row r="30" spans="2:31" ht="13.5" thickBot="1" x14ac:dyDescent="0.25">
      <c r="B30" s="372">
        <v>2015</v>
      </c>
      <c r="C30" s="1265">
        <v>151412</v>
      </c>
      <c r="D30" s="1266">
        <v>1000000</v>
      </c>
      <c r="E30" s="1266">
        <v>1000000</v>
      </c>
      <c r="F30" s="1266">
        <v>1000000</v>
      </c>
      <c r="G30" s="1266">
        <v>1000000</v>
      </c>
      <c r="H30" s="1267">
        <v>1000000</v>
      </c>
      <c r="I30" s="1202">
        <f t="shared" si="7"/>
        <v>0</v>
      </c>
      <c r="J30" s="373">
        <f t="shared" si="8"/>
        <v>0</v>
      </c>
      <c r="K30" s="373">
        <f t="shared" si="5"/>
        <v>0</v>
      </c>
      <c r="L30" s="373">
        <f t="shared" si="6"/>
        <v>0</v>
      </c>
      <c r="M30" s="1207">
        <f t="shared" si="6"/>
        <v>0</v>
      </c>
      <c r="N30" s="1289">
        <v>6.1703756815216178</v>
      </c>
      <c r="O30" s="1290">
        <v>1</v>
      </c>
      <c r="P30" s="1290">
        <v>1</v>
      </c>
      <c r="Q30" s="1301">
        <v>1</v>
      </c>
      <c r="R30" s="1301">
        <v>1</v>
      </c>
      <c r="S30" s="1302">
        <v>1</v>
      </c>
      <c r="T30" s="1292">
        <v>1</v>
      </c>
      <c r="U30" s="1293">
        <v>1</v>
      </c>
      <c r="V30" s="1293">
        <v>1</v>
      </c>
      <c r="W30" s="1293">
        <v>1</v>
      </c>
      <c r="X30" s="1293">
        <v>1</v>
      </c>
      <c r="Y30" s="1294">
        <v>1</v>
      </c>
      <c r="Z30" s="1292">
        <v>0</v>
      </c>
      <c r="AA30" s="1293">
        <v>0</v>
      </c>
      <c r="AB30" s="1293">
        <v>0</v>
      </c>
      <c r="AC30" s="1293">
        <v>0</v>
      </c>
      <c r="AD30" s="1293">
        <v>0</v>
      </c>
      <c r="AE30" s="1294">
        <v>0</v>
      </c>
    </row>
    <row r="31" spans="2:31" x14ac:dyDescent="0.2">
      <c r="B31" s="374">
        <v>2016</v>
      </c>
      <c r="C31" s="1268">
        <v>151412</v>
      </c>
      <c r="D31" s="1269">
        <v>1000000</v>
      </c>
      <c r="E31" s="1269">
        <v>1000000</v>
      </c>
      <c r="F31" s="1269">
        <v>1000000</v>
      </c>
      <c r="G31" s="1269">
        <v>1000000</v>
      </c>
      <c r="H31" s="1270">
        <v>1000000</v>
      </c>
      <c r="I31" s="1200">
        <f t="shared" si="7"/>
        <v>0</v>
      </c>
      <c r="J31" s="375">
        <f t="shared" si="8"/>
        <v>0</v>
      </c>
      <c r="K31" s="375">
        <f t="shared" si="5"/>
        <v>0</v>
      </c>
      <c r="L31" s="375">
        <f t="shared" si="6"/>
        <v>0</v>
      </c>
      <c r="M31" s="1205">
        <f t="shared" si="6"/>
        <v>0</v>
      </c>
      <c r="N31" s="1295">
        <v>6.2992037959414615</v>
      </c>
      <c r="O31" s="1284">
        <v>1</v>
      </c>
      <c r="P31" s="1284">
        <v>1</v>
      </c>
      <c r="Q31" s="1303">
        <v>1</v>
      </c>
      <c r="R31" s="1303">
        <v>1</v>
      </c>
      <c r="S31" s="1304">
        <v>1</v>
      </c>
      <c r="T31" s="1298">
        <v>1</v>
      </c>
      <c r="U31" s="1299">
        <v>1</v>
      </c>
      <c r="V31" s="1299">
        <v>1</v>
      </c>
      <c r="W31" s="1299">
        <v>1</v>
      </c>
      <c r="X31" s="1299">
        <v>1</v>
      </c>
      <c r="Y31" s="1300">
        <v>1</v>
      </c>
      <c r="Z31" s="1298">
        <v>0</v>
      </c>
      <c r="AA31" s="1299">
        <v>0</v>
      </c>
      <c r="AB31" s="1299">
        <v>0</v>
      </c>
      <c r="AC31" s="1299">
        <v>0</v>
      </c>
      <c r="AD31" s="1299">
        <v>0</v>
      </c>
      <c r="AE31" s="1300">
        <v>0</v>
      </c>
    </row>
    <row r="32" spans="2:31" x14ac:dyDescent="0.2">
      <c r="B32" s="370">
        <v>2017</v>
      </c>
      <c r="C32" s="1262">
        <v>151412</v>
      </c>
      <c r="D32" s="1263">
        <v>1000000</v>
      </c>
      <c r="E32" s="1263">
        <v>1000000</v>
      </c>
      <c r="F32" s="1263">
        <v>1000000</v>
      </c>
      <c r="G32" s="1263">
        <v>1000000</v>
      </c>
      <c r="H32" s="1264">
        <v>1000000</v>
      </c>
      <c r="I32" s="1201">
        <f t="shared" si="7"/>
        <v>0</v>
      </c>
      <c r="J32" s="371">
        <f t="shared" si="8"/>
        <v>0</v>
      </c>
      <c r="K32" s="371">
        <f t="shared" si="5"/>
        <v>0</v>
      </c>
      <c r="L32" s="371">
        <f t="shared" si="6"/>
        <v>0</v>
      </c>
      <c r="M32" s="1206">
        <f t="shared" si="6"/>
        <v>0</v>
      </c>
      <c r="N32" s="1283">
        <v>6.429880170141046</v>
      </c>
      <c r="O32" s="1284">
        <v>1</v>
      </c>
      <c r="P32" s="1284">
        <v>1</v>
      </c>
      <c r="Q32" s="1303">
        <v>1</v>
      </c>
      <c r="R32" s="1303">
        <v>1</v>
      </c>
      <c r="S32" s="1304">
        <v>1</v>
      </c>
      <c r="T32" s="1286">
        <v>1</v>
      </c>
      <c r="U32" s="1287">
        <v>1</v>
      </c>
      <c r="V32" s="1287">
        <v>1</v>
      </c>
      <c r="W32" s="1287">
        <v>1</v>
      </c>
      <c r="X32" s="1287">
        <v>1</v>
      </c>
      <c r="Y32" s="1288">
        <v>1</v>
      </c>
      <c r="Z32" s="1286">
        <v>0</v>
      </c>
      <c r="AA32" s="1287">
        <v>0</v>
      </c>
      <c r="AB32" s="1287">
        <v>0</v>
      </c>
      <c r="AC32" s="1287">
        <v>0</v>
      </c>
      <c r="AD32" s="1287">
        <v>0</v>
      </c>
      <c r="AE32" s="1288">
        <v>0</v>
      </c>
    </row>
    <row r="33" spans="2:31" x14ac:dyDescent="0.2">
      <c r="B33" s="370">
        <v>2018</v>
      </c>
      <c r="C33" s="1262">
        <v>151412</v>
      </c>
      <c r="D33" s="1263">
        <v>1000000</v>
      </c>
      <c r="E33" s="1263">
        <v>1000000</v>
      </c>
      <c r="F33" s="1263">
        <v>1000000</v>
      </c>
      <c r="G33" s="1263">
        <v>1000000</v>
      </c>
      <c r="H33" s="1264">
        <v>1000000</v>
      </c>
      <c r="I33" s="1201">
        <f t="shared" si="7"/>
        <v>0</v>
      </c>
      <c r="J33" s="371">
        <f t="shared" si="8"/>
        <v>0</v>
      </c>
      <c r="K33" s="371">
        <f t="shared" si="5"/>
        <v>0</v>
      </c>
      <c r="L33" s="371">
        <f t="shared" si="6"/>
        <v>0</v>
      </c>
      <c r="M33" s="1206">
        <f t="shared" si="6"/>
        <v>0</v>
      </c>
      <c r="N33" s="1283">
        <v>6.3927777584473002</v>
      </c>
      <c r="O33" s="1284">
        <v>1</v>
      </c>
      <c r="P33" s="1284">
        <v>1</v>
      </c>
      <c r="Q33" s="1303">
        <v>1</v>
      </c>
      <c r="R33" s="1303">
        <v>1</v>
      </c>
      <c r="S33" s="1304">
        <v>1</v>
      </c>
      <c r="T33" s="1286">
        <v>1</v>
      </c>
      <c r="U33" s="1287">
        <v>1</v>
      </c>
      <c r="V33" s="1287">
        <v>1</v>
      </c>
      <c r="W33" s="1287">
        <v>1</v>
      </c>
      <c r="X33" s="1287">
        <v>1</v>
      </c>
      <c r="Y33" s="1288">
        <v>1</v>
      </c>
      <c r="Z33" s="1286">
        <v>0</v>
      </c>
      <c r="AA33" s="1287">
        <v>0</v>
      </c>
      <c r="AB33" s="1287">
        <v>0</v>
      </c>
      <c r="AC33" s="1287">
        <v>0</v>
      </c>
      <c r="AD33" s="1287">
        <v>0</v>
      </c>
      <c r="AE33" s="1288">
        <v>0</v>
      </c>
    </row>
    <row r="34" spans="2:31" x14ac:dyDescent="0.2">
      <c r="B34" s="370">
        <v>2019</v>
      </c>
      <c r="C34" s="1262">
        <v>151412</v>
      </c>
      <c r="D34" s="1263">
        <v>1000000</v>
      </c>
      <c r="E34" s="1263">
        <v>1000000</v>
      </c>
      <c r="F34" s="1263">
        <v>1000000</v>
      </c>
      <c r="G34" s="1263">
        <v>1000000</v>
      </c>
      <c r="H34" s="1264">
        <v>1000000</v>
      </c>
      <c r="I34" s="1201">
        <f t="shared" si="7"/>
        <v>0</v>
      </c>
      <c r="J34" s="371">
        <f t="shared" si="8"/>
        <v>0</v>
      </c>
      <c r="K34" s="371">
        <f t="shared" si="5"/>
        <v>0</v>
      </c>
      <c r="L34" s="371">
        <f t="shared" si="6"/>
        <v>0</v>
      </c>
      <c r="M34" s="1206">
        <f t="shared" si="6"/>
        <v>0</v>
      </c>
      <c r="N34" s="1283">
        <v>6.4333520263174488</v>
      </c>
      <c r="O34" s="1284">
        <v>1</v>
      </c>
      <c r="P34" s="1284">
        <v>1</v>
      </c>
      <c r="Q34" s="1303">
        <v>1</v>
      </c>
      <c r="R34" s="1303">
        <v>1</v>
      </c>
      <c r="S34" s="1304">
        <v>1</v>
      </c>
      <c r="T34" s="1286">
        <v>1</v>
      </c>
      <c r="U34" s="1287">
        <v>1</v>
      </c>
      <c r="V34" s="1287">
        <v>1</v>
      </c>
      <c r="W34" s="1287">
        <v>1</v>
      </c>
      <c r="X34" s="1287">
        <v>1</v>
      </c>
      <c r="Y34" s="1288">
        <v>1</v>
      </c>
      <c r="Z34" s="1286">
        <v>0</v>
      </c>
      <c r="AA34" s="1287">
        <v>0</v>
      </c>
      <c r="AB34" s="1287">
        <v>0</v>
      </c>
      <c r="AC34" s="1287">
        <v>0</v>
      </c>
      <c r="AD34" s="1287">
        <v>0</v>
      </c>
      <c r="AE34" s="1288">
        <v>0</v>
      </c>
    </row>
    <row r="35" spans="2:31" ht="13.5" thickBot="1" x14ac:dyDescent="0.25">
      <c r="B35" s="372">
        <v>2020</v>
      </c>
      <c r="C35" s="1265">
        <v>151412</v>
      </c>
      <c r="D35" s="1266">
        <v>1000000</v>
      </c>
      <c r="E35" s="1266">
        <v>1000000</v>
      </c>
      <c r="F35" s="1266">
        <v>1000000</v>
      </c>
      <c r="G35" s="1266">
        <v>1000000</v>
      </c>
      <c r="H35" s="1267">
        <v>1000000</v>
      </c>
      <c r="I35" s="1202">
        <f t="shared" si="7"/>
        <v>0</v>
      </c>
      <c r="J35" s="373">
        <f t="shared" si="8"/>
        <v>0</v>
      </c>
      <c r="K35" s="373">
        <f t="shared" si="5"/>
        <v>0</v>
      </c>
      <c r="L35" s="373">
        <f t="shared" si="6"/>
        <v>0</v>
      </c>
      <c r="M35" s="1207">
        <f t="shared" si="6"/>
        <v>0</v>
      </c>
      <c r="N35" s="1289">
        <v>6.4864337636120455</v>
      </c>
      <c r="O35" s="1290">
        <v>1</v>
      </c>
      <c r="P35" s="1290">
        <v>1</v>
      </c>
      <c r="Q35" s="1301">
        <v>1</v>
      </c>
      <c r="R35" s="1301">
        <v>1</v>
      </c>
      <c r="S35" s="1302">
        <v>1</v>
      </c>
      <c r="T35" s="1292">
        <v>1</v>
      </c>
      <c r="U35" s="1293">
        <v>1</v>
      </c>
      <c r="V35" s="1293">
        <v>1</v>
      </c>
      <c r="W35" s="1293">
        <v>1</v>
      </c>
      <c r="X35" s="1293">
        <v>1</v>
      </c>
      <c r="Y35" s="1294">
        <v>1</v>
      </c>
      <c r="Z35" s="1292">
        <v>0</v>
      </c>
      <c r="AA35" s="1293">
        <v>0</v>
      </c>
      <c r="AB35" s="1293">
        <v>0</v>
      </c>
      <c r="AC35" s="1293">
        <v>0</v>
      </c>
      <c r="AD35" s="1293">
        <v>0</v>
      </c>
      <c r="AE35" s="1294">
        <v>0</v>
      </c>
    </row>
    <row r="36" spans="2:31" x14ac:dyDescent="0.2">
      <c r="B36" s="374">
        <v>2021</v>
      </c>
      <c r="C36" s="1268">
        <v>151412</v>
      </c>
      <c r="D36" s="1269">
        <v>0</v>
      </c>
      <c r="E36" s="1269">
        <v>9699</v>
      </c>
      <c r="F36" s="1269">
        <v>740658</v>
      </c>
      <c r="G36" s="1269">
        <v>206108</v>
      </c>
      <c r="H36" s="1270">
        <v>407882</v>
      </c>
      <c r="I36" s="1200">
        <f t="shared" si="7"/>
        <v>0</v>
      </c>
      <c r="J36" s="375">
        <f t="shared" si="8"/>
        <v>0</v>
      </c>
      <c r="K36" s="375">
        <f t="shared" si="5"/>
        <v>0</v>
      </c>
      <c r="L36" s="375">
        <f t="shared" si="6"/>
        <v>0</v>
      </c>
      <c r="M36" s="1205">
        <f t="shared" si="6"/>
        <v>0</v>
      </c>
      <c r="N36" s="1295">
        <v>6.4888939494054592</v>
      </c>
      <c r="O36" s="1296">
        <v>6.5154943566598513</v>
      </c>
      <c r="P36" s="1296">
        <v>6.941429705926466</v>
      </c>
      <c r="Q36" s="1303">
        <v>13.362791361132043</v>
      </c>
      <c r="R36" s="1303">
        <v>8.5754688326363873</v>
      </c>
      <c r="S36" s="1304">
        <v>6.3289606727405152</v>
      </c>
      <c r="T36" s="1298">
        <v>1</v>
      </c>
      <c r="U36" s="1299">
        <v>1</v>
      </c>
      <c r="V36" s="1299">
        <v>1</v>
      </c>
      <c r="W36" s="1299">
        <v>1</v>
      </c>
      <c r="X36" s="1299">
        <v>1</v>
      </c>
      <c r="Y36" s="1300">
        <v>13.60159669202865</v>
      </c>
      <c r="Z36" s="1298">
        <v>0</v>
      </c>
      <c r="AA36" s="1299">
        <v>0</v>
      </c>
      <c r="AB36" s="1299">
        <v>0</v>
      </c>
      <c r="AC36" s="1299">
        <v>474.05481074760814</v>
      </c>
      <c r="AD36" s="1299">
        <v>0</v>
      </c>
      <c r="AE36" s="1300">
        <v>238.36779896973547</v>
      </c>
    </row>
    <row r="37" spans="2:31" x14ac:dyDescent="0.2">
      <c r="B37" s="370">
        <v>2022</v>
      </c>
      <c r="C37" s="1262">
        <v>152694.05291325031</v>
      </c>
      <c r="D37" s="1263">
        <v>353.63531422467037</v>
      </c>
      <c r="E37" s="1263">
        <v>9602.0765388049003</v>
      </c>
      <c r="F37" s="1263">
        <v>690930.32170164736</v>
      </c>
      <c r="G37" s="1263">
        <v>189027.18484158698</v>
      </c>
      <c r="H37" s="1264">
        <v>375673.97002824885</v>
      </c>
      <c r="I37" s="1201">
        <f t="shared" si="7"/>
        <v>0</v>
      </c>
      <c r="J37" s="371">
        <f t="shared" si="8"/>
        <v>0</v>
      </c>
      <c r="K37" s="371">
        <f t="shared" si="5"/>
        <v>0</v>
      </c>
      <c r="L37" s="371">
        <f t="shared" si="6"/>
        <v>0</v>
      </c>
      <c r="M37" s="1206">
        <f t="shared" si="6"/>
        <v>0</v>
      </c>
      <c r="N37" s="1283">
        <v>6.618661358461285</v>
      </c>
      <c r="O37" s="1284">
        <v>6.7146884784456899</v>
      </c>
      <c r="P37" s="1284">
        <v>7.1680921945659701</v>
      </c>
      <c r="Q37" s="1305">
        <v>13.622946065886131</v>
      </c>
      <c r="R37" s="1305">
        <v>8.7974582170385389</v>
      </c>
      <c r="S37" s="1306">
        <v>6.5741491355824975</v>
      </c>
      <c r="T37" s="1286">
        <v>1</v>
      </c>
      <c r="U37" s="1287">
        <v>1</v>
      </c>
      <c r="V37" s="1287">
        <v>1</v>
      </c>
      <c r="W37" s="1287">
        <v>1</v>
      </c>
      <c r="X37" s="1287">
        <v>1</v>
      </c>
      <c r="Y37" s="1288">
        <v>13.903291337478718</v>
      </c>
      <c r="Z37" s="1286">
        <v>0</v>
      </c>
      <c r="AA37" s="1287">
        <v>0</v>
      </c>
      <c r="AB37" s="1287">
        <v>0</v>
      </c>
      <c r="AC37" s="1287">
        <v>479.99347441601418</v>
      </c>
      <c r="AD37" s="1287">
        <v>0</v>
      </c>
      <c r="AE37" s="1288">
        <v>236.43187525626811</v>
      </c>
    </row>
    <row r="38" spans="2:31" x14ac:dyDescent="0.2">
      <c r="B38" s="370">
        <v>2023</v>
      </c>
      <c r="C38" s="1262">
        <v>153887.62389136266</v>
      </c>
      <c r="D38" s="1263">
        <v>633.50109726914832</v>
      </c>
      <c r="E38" s="1263">
        <v>9525.3716417778069</v>
      </c>
      <c r="F38" s="1263">
        <v>651576.00649004406</v>
      </c>
      <c r="G38" s="1263">
        <v>175509.485909771</v>
      </c>
      <c r="H38" s="1264">
        <v>350184.64482291171</v>
      </c>
      <c r="I38" s="1201">
        <f t="shared" si="7"/>
        <v>0</v>
      </c>
      <c r="J38" s="371">
        <f t="shared" si="8"/>
        <v>0</v>
      </c>
      <c r="K38" s="371">
        <f t="shared" ref="K38:K65" si="9">F38*K$21</f>
        <v>0</v>
      </c>
      <c r="L38" s="371">
        <f t="shared" ref="L38:L65" si="10">G38*L$21</f>
        <v>0</v>
      </c>
      <c r="M38" s="1206">
        <f t="shared" ref="M38:M65" si="11">H38*M$21</f>
        <v>0</v>
      </c>
      <c r="N38" s="1283">
        <v>6.7394727631646916</v>
      </c>
      <c r="O38" s="1284">
        <v>6.8723300278867434</v>
      </c>
      <c r="P38" s="1284">
        <v>7.3474721159660232</v>
      </c>
      <c r="Q38" s="1305">
        <v>13.82883161303047</v>
      </c>
      <c r="R38" s="1305">
        <v>8.9731398596637408</v>
      </c>
      <c r="S38" s="1306">
        <v>6.7681904498590129</v>
      </c>
      <c r="T38" s="1286">
        <v>1</v>
      </c>
      <c r="U38" s="1287">
        <v>1</v>
      </c>
      <c r="V38" s="1287">
        <v>1</v>
      </c>
      <c r="W38" s="1287">
        <v>1</v>
      </c>
      <c r="X38" s="1287">
        <v>1</v>
      </c>
      <c r="Y38" s="1288">
        <v>14.142051452187081</v>
      </c>
      <c r="Z38" s="1286">
        <v>0</v>
      </c>
      <c r="AA38" s="1287">
        <v>0</v>
      </c>
      <c r="AB38" s="1287">
        <v>0</v>
      </c>
      <c r="AC38" s="1287">
        <v>484.69331261356575</v>
      </c>
      <c r="AD38" s="1287">
        <v>0</v>
      </c>
      <c r="AE38" s="1288">
        <v>234.89979182401308</v>
      </c>
    </row>
    <row r="39" spans="2:31" x14ac:dyDescent="0.2">
      <c r="B39" s="370">
        <v>2024</v>
      </c>
      <c r="C39" s="1262">
        <v>155468.9856745867</v>
      </c>
      <c r="D39" s="1263">
        <v>1000.3316605240551</v>
      </c>
      <c r="E39" s="1263">
        <v>9424.8316605240543</v>
      </c>
      <c r="F39" s="1263">
        <v>599992.83166052389</v>
      </c>
      <c r="G39" s="1263">
        <v>157791.33166052398</v>
      </c>
      <c r="H39" s="1264">
        <v>316774.83166052413</v>
      </c>
      <c r="I39" s="1201">
        <f t="shared" si="7"/>
        <v>0</v>
      </c>
      <c r="J39" s="371">
        <f t="shared" si="8"/>
        <v>0</v>
      </c>
      <c r="K39" s="371">
        <f t="shared" si="9"/>
        <v>0</v>
      </c>
      <c r="L39" s="371">
        <f t="shared" si="10"/>
        <v>0</v>
      </c>
      <c r="M39" s="1206">
        <f t="shared" si="11"/>
        <v>0</v>
      </c>
      <c r="N39" s="1283">
        <v>6.8995357521942369</v>
      </c>
      <c r="O39" s="1284">
        <v>7.0789567106657794</v>
      </c>
      <c r="P39" s="1284">
        <v>7.5825920970083116</v>
      </c>
      <c r="Q39" s="1305">
        <v>14.09869351041362</v>
      </c>
      <c r="R39" s="1305">
        <v>9.2034123682094133</v>
      </c>
      <c r="S39" s="1306">
        <v>7.0225276676369512</v>
      </c>
      <c r="T39" s="1286">
        <v>1</v>
      </c>
      <c r="U39" s="1287">
        <v>1</v>
      </c>
      <c r="V39" s="1287">
        <v>1</v>
      </c>
      <c r="W39" s="1287">
        <v>1</v>
      </c>
      <c r="X39" s="1287">
        <v>1</v>
      </c>
      <c r="Y39" s="1288">
        <v>14.455003276481211</v>
      </c>
      <c r="Z39" s="1286">
        <v>0</v>
      </c>
      <c r="AA39" s="1287">
        <v>0</v>
      </c>
      <c r="AB39" s="1287">
        <v>0</v>
      </c>
      <c r="AC39" s="1287">
        <v>490.85356655550891</v>
      </c>
      <c r="AD39" s="1287">
        <v>0</v>
      </c>
      <c r="AE39" s="1288">
        <v>232.89163269039616</v>
      </c>
    </row>
    <row r="40" spans="2:31" ht="13.5" thickBot="1" x14ac:dyDescent="0.25">
      <c r="B40" s="372">
        <v>2025</v>
      </c>
      <c r="C40" s="1265">
        <v>157278.03996967364</v>
      </c>
      <c r="D40" s="1266">
        <v>1367.1622237789602</v>
      </c>
      <c r="E40" s="1266">
        <v>9324.2916792703018</v>
      </c>
      <c r="F40" s="1266">
        <v>548409.65683100373</v>
      </c>
      <c r="G40" s="1266">
        <v>140073.17741127725</v>
      </c>
      <c r="H40" s="1267">
        <v>283365.01849813649</v>
      </c>
      <c r="I40" s="1202">
        <f t="shared" si="7"/>
        <v>0</v>
      </c>
      <c r="J40" s="373">
        <f t="shared" si="8"/>
        <v>0</v>
      </c>
      <c r="K40" s="373">
        <f t="shared" si="9"/>
        <v>0</v>
      </c>
      <c r="L40" s="373">
        <f t="shared" si="10"/>
        <v>0</v>
      </c>
      <c r="M40" s="1207">
        <f t="shared" si="11"/>
        <v>0</v>
      </c>
      <c r="N40" s="1289">
        <v>7.0826454244148485</v>
      </c>
      <c r="O40" s="1290">
        <v>7.2855833934448144</v>
      </c>
      <c r="P40" s="1290">
        <v>7.8177120780505991</v>
      </c>
      <c r="Q40" s="1301">
        <v>14.368555407796769</v>
      </c>
      <c r="R40" s="1301">
        <v>9.4336848767550823</v>
      </c>
      <c r="S40" s="1302">
        <v>7.2768648854148896</v>
      </c>
      <c r="T40" s="1292">
        <v>1</v>
      </c>
      <c r="U40" s="1293">
        <v>1</v>
      </c>
      <c r="V40" s="1293">
        <v>1</v>
      </c>
      <c r="W40" s="1293">
        <v>1</v>
      </c>
      <c r="X40" s="1293">
        <v>1</v>
      </c>
      <c r="Y40" s="1294">
        <v>14.767955100775337</v>
      </c>
      <c r="Z40" s="1292">
        <v>0</v>
      </c>
      <c r="AA40" s="1293">
        <v>0</v>
      </c>
      <c r="AB40" s="1293">
        <v>0</v>
      </c>
      <c r="AC40" s="1293">
        <v>497.01382049745212</v>
      </c>
      <c r="AD40" s="1293">
        <v>0</v>
      </c>
      <c r="AE40" s="1294">
        <v>230.88347355677925</v>
      </c>
    </row>
    <row r="41" spans="2:31" x14ac:dyDescent="0.2">
      <c r="B41" s="374">
        <v>2026</v>
      </c>
      <c r="C41" s="1268">
        <v>159370.44685304872</v>
      </c>
      <c r="D41" s="1269">
        <v>1647.0280068234383</v>
      </c>
      <c r="E41" s="1269">
        <v>9247.5867822432083</v>
      </c>
      <c r="F41" s="1269">
        <v>509055.34161940007</v>
      </c>
      <c r="G41" s="1269">
        <v>126555.47847946113</v>
      </c>
      <c r="H41" s="1270">
        <v>257875.69329279952</v>
      </c>
      <c r="I41" s="1200">
        <f t="shared" si="7"/>
        <v>0</v>
      </c>
      <c r="J41" s="375">
        <f t="shared" si="8"/>
        <v>0</v>
      </c>
      <c r="K41" s="375">
        <f t="shared" si="9"/>
        <v>0</v>
      </c>
      <c r="L41" s="375">
        <f t="shared" si="10"/>
        <v>0</v>
      </c>
      <c r="M41" s="1205">
        <f t="shared" si="11"/>
        <v>0</v>
      </c>
      <c r="N41" s="1295">
        <v>7.294435606504738</v>
      </c>
      <c r="O41" s="1296">
        <v>7.4432249428858679</v>
      </c>
      <c r="P41" s="1296">
        <v>7.9970919994506531</v>
      </c>
      <c r="Q41" s="1303">
        <v>14.57444095494111</v>
      </c>
      <c r="R41" s="1303">
        <v>9.609366519380286</v>
      </c>
      <c r="S41" s="1304">
        <v>7.4709061996914041</v>
      </c>
      <c r="T41" s="1298">
        <v>1</v>
      </c>
      <c r="U41" s="1299">
        <v>1</v>
      </c>
      <c r="V41" s="1299">
        <v>1</v>
      </c>
      <c r="W41" s="1299">
        <v>1</v>
      </c>
      <c r="X41" s="1299">
        <v>1</v>
      </c>
      <c r="Y41" s="1300">
        <v>15.0067152154837</v>
      </c>
      <c r="Z41" s="1298">
        <v>0</v>
      </c>
      <c r="AA41" s="1299">
        <v>0</v>
      </c>
      <c r="AB41" s="1299">
        <v>0</v>
      </c>
      <c r="AC41" s="1299">
        <v>501.71365869500369</v>
      </c>
      <c r="AD41" s="1299">
        <v>0</v>
      </c>
      <c r="AE41" s="1300">
        <v>229.35139012452422</v>
      </c>
    </row>
    <row r="42" spans="2:31" x14ac:dyDescent="0.2">
      <c r="B42" s="370">
        <v>2027</v>
      </c>
      <c r="C42" s="1262">
        <v>161438.64993857368</v>
      </c>
      <c r="D42" s="1263">
        <v>2000.6633210481086</v>
      </c>
      <c r="E42" s="1263">
        <v>9150.6633210481086</v>
      </c>
      <c r="F42" s="1263">
        <v>459327.66332104814</v>
      </c>
      <c r="G42" s="1263">
        <v>109474.66332104811</v>
      </c>
      <c r="H42" s="1264">
        <v>225667.66332104811</v>
      </c>
      <c r="I42" s="1201">
        <f t="shared" si="7"/>
        <v>0</v>
      </c>
      <c r="J42" s="371">
        <f t="shared" si="8"/>
        <v>0</v>
      </c>
      <c r="K42" s="371">
        <f t="shared" si="9"/>
        <v>0</v>
      </c>
      <c r="L42" s="371">
        <f t="shared" si="10"/>
        <v>0</v>
      </c>
      <c r="M42" s="1206">
        <f t="shared" si="11"/>
        <v>0</v>
      </c>
      <c r="N42" s="1283">
        <v>7.5037759176853553</v>
      </c>
      <c r="O42" s="1284">
        <v>7.6424190646717065</v>
      </c>
      <c r="P42" s="1284">
        <v>8.2237544880901581</v>
      </c>
      <c r="Q42" s="1305">
        <v>14.834595659695195</v>
      </c>
      <c r="R42" s="1305">
        <v>9.8313559037824376</v>
      </c>
      <c r="S42" s="1306">
        <v>7.7160946625333882</v>
      </c>
      <c r="T42" s="1286">
        <v>1</v>
      </c>
      <c r="U42" s="1287">
        <v>1</v>
      </c>
      <c r="V42" s="1287">
        <v>1</v>
      </c>
      <c r="W42" s="1287">
        <v>1</v>
      </c>
      <c r="X42" s="1287">
        <v>1</v>
      </c>
      <c r="Y42" s="1288">
        <v>15.30840986093377</v>
      </c>
      <c r="Z42" s="1286">
        <v>0</v>
      </c>
      <c r="AA42" s="1287">
        <v>0</v>
      </c>
      <c r="AB42" s="1287">
        <v>0</v>
      </c>
      <c r="AC42" s="1287">
        <v>507.65232236340972</v>
      </c>
      <c r="AD42" s="1287">
        <v>0</v>
      </c>
      <c r="AE42" s="1288">
        <v>227.41546641105685</v>
      </c>
    </row>
    <row r="43" spans="2:31" x14ac:dyDescent="0.2">
      <c r="B43" s="370">
        <v>2028</v>
      </c>
      <c r="C43" s="1262">
        <v>161925.61809378397</v>
      </c>
      <c r="D43" s="1263">
        <v>2193.4850939506405</v>
      </c>
      <c r="E43" s="1263">
        <v>9158.2678318423968</v>
      </c>
      <c r="F43" s="1263">
        <v>407681.02292619308</v>
      </c>
      <c r="G43" s="1263">
        <v>104637.41167954178</v>
      </c>
      <c r="H43" s="1264">
        <v>202420.76565809583</v>
      </c>
      <c r="I43" s="1201">
        <f t="shared" si="7"/>
        <v>0</v>
      </c>
      <c r="J43" s="371">
        <f t="shared" si="8"/>
        <v>0</v>
      </c>
      <c r="K43" s="371">
        <f t="shared" si="9"/>
        <v>0</v>
      </c>
      <c r="L43" s="371">
        <f t="shared" si="10"/>
        <v>0</v>
      </c>
      <c r="M43" s="1206">
        <f t="shared" si="11"/>
        <v>0</v>
      </c>
      <c r="N43" s="1283">
        <v>7.6179189540571528</v>
      </c>
      <c r="O43" s="1284">
        <v>7.931751799647067</v>
      </c>
      <c r="P43" s="1284">
        <v>8.5471456027682873</v>
      </c>
      <c r="Q43" s="1305">
        <v>15.239751140347098</v>
      </c>
      <c r="R43" s="1305">
        <v>10.052989644506678</v>
      </c>
      <c r="S43" s="1306">
        <v>7.9729215943562863</v>
      </c>
      <c r="T43" s="1286">
        <v>1</v>
      </c>
      <c r="U43" s="1287">
        <v>1</v>
      </c>
      <c r="V43" s="1287">
        <v>1</v>
      </c>
      <c r="W43" s="1287">
        <v>1</v>
      </c>
      <c r="X43" s="1287">
        <v>1</v>
      </c>
      <c r="Y43" s="1288">
        <v>15.675179841670722</v>
      </c>
      <c r="Z43" s="1286">
        <v>0</v>
      </c>
      <c r="AA43" s="1287">
        <v>0</v>
      </c>
      <c r="AB43" s="1287">
        <v>0</v>
      </c>
      <c r="AC43" s="1287">
        <v>509.29486567761194</v>
      </c>
      <c r="AD43" s="1287">
        <v>0</v>
      </c>
      <c r="AE43" s="1288">
        <v>227.7698919658198</v>
      </c>
    </row>
    <row r="44" spans="2:31" x14ac:dyDescent="0.2">
      <c r="B44" s="370">
        <v>2029</v>
      </c>
      <c r="C44" s="1262">
        <v>162512.84826185249</v>
      </c>
      <c r="D44" s="1263">
        <v>2339.6266040064943</v>
      </c>
      <c r="E44" s="1263">
        <v>9164.0313650470998</v>
      </c>
      <c r="F44" s="1263">
        <v>368537.5283767943</v>
      </c>
      <c r="G44" s="1263">
        <v>100971.21128749772</v>
      </c>
      <c r="H44" s="1264">
        <v>184801.71425410808</v>
      </c>
      <c r="I44" s="1201">
        <f t="shared" si="7"/>
        <v>0</v>
      </c>
      <c r="J44" s="371">
        <f t="shared" si="8"/>
        <v>0</v>
      </c>
      <c r="K44" s="371">
        <f t="shared" si="9"/>
        <v>0</v>
      </c>
      <c r="L44" s="371">
        <f t="shared" si="10"/>
        <v>0</v>
      </c>
      <c r="M44" s="1206">
        <f t="shared" si="11"/>
        <v>0</v>
      </c>
      <c r="N44" s="1283">
        <v>7.7555629328580205</v>
      </c>
      <c r="O44" s="1284">
        <v>8.1510399130245066</v>
      </c>
      <c r="P44" s="1284">
        <v>8.7922468956684234</v>
      </c>
      <c r="Q44" s="1305">
        <v>15.546822446966621</v>
      </c>
      <c r="R44" s="1305">
        <v>10.220968027140575</v>
      </c>
      <c r="S44" s="1306">
        <v>8.1675732411834456</v>
      </c>
      <c r="T44" s="1286">
        <v>1</v>
      </c>
      <c r="U44" s="1287">
        <v>1</v>
      </c>
      <c r="V44" s="1287">
        <v>1</v>
      </c>
      <c r="W44" s="1287">
        <v>1</v>
      </c>
      <c r="X44" s="1287">
        <v>1</v>
      </c>
      <c r="Y44" s="1288">
        <v>15.953158401981696</v>
      </c>
      <c r="Z44" s="1286">
        <v>0</v>
      </c>
      <c r="AA44" s="1287">
        <v>0</v>
      </c>
      <c r="AB44" s="1287">
        <v>0</v>
      </c>
      <c r="AC44" s="1287">
        <v>510.53976534146369</v>
      </c>
      <c r="AD44" s="1287">
        <v>0</v>
      </c>
      <c r="AE44" s="1288">
        <v>228.03851456479165</v>
      </c>
    </row>
    <row r="45" spans="2:31" ht="13.5" thickBot="1" x14ac:dyDescent="0.25">
      <c r="B45" s="372">
        <v>2030</v>
      </c>
      <c r="C45" s="1265">
        <v>162980.88423840102</v>
      </c>
      <c r="D45" s="1266">
        <v>2506.1156430401029</v>
      </c>
      <c r="E45" s="1266">
        <v>9170.5973647026567</v>
      </c>
      <c r="F45" s="1266">
        <v>323944.01904836309</v>
      </c>
      <c r="G45" s="1266">
        <v>96794.559630191201</v>
      </c>
      <c r="H45" s="1267">
        <v>164729.53260077367</v>
      </c>
      <c r="I45" s="1202">
        <f t="shared" si="7"/>
        <v>0</v>
      </c>
      <c r="J45" s="373">
        <f t="shared" si="8"/>
        <v>0</v>
      </c>
      <c r="K45" s="373">
        <f t="shared" si="9"/>
        <v>0</v>
      </c>
      <c r="L45" s="373">
        <f t="shared" si="10"/>
        <v>0</v>
      </c>
      <c r="M45" s="1207">
        <f t="shared" si="11"/>
        <v>0</v>
      </c>
      <c r="N45" s="1289">
        <v>7.8652683559393761</v>
      </c>
      <c r="O45" s="1290">
        <v>8.4008598803544565</v>
      </c>
      <c r="P45" s="1290">
        <v>9.0714740550514286</v>
      </c>
      <c r="Q45" s="1301">
        <v>15.896647809619164</v>
      </c>
      <c r="R45" s="1301">
        <v>10.412334323358872</v>
      </c>
      <c r="S45" s="1302">
        <v>8.3893265651649589</v>
      </c>
      <c r="T45" s="1292">
        <v>1</v>
      </c>
      <c r="U45" s="1293">
        <v>1</v>
      </c>
      <c r="V45" s="1293">
        <v>1</v>
      </c>
      <c r="W45" s="1293">
        <v>1</v>
      </c>
      <c r="X45" s="1293">
        <v>1</v>
      </c>
      <c r="Y45" s="1294">
        <v>16.269840386179286</v>
      </c>
      <c r="Z45" s="1292">
        <v>0</v>
      </c>
      <c r="AA45" s="1293">
        <v>0</v>
      </c>
      <c r="AB45" s="1293">
        <v>0</v>
      </c>
      <c r="AC45" s="1293">
        <v>511.95799448559063</v>
      </c>
      <c r="AD45" s="1293">
        <v>0</v>
      </c>
      <c r="AE45" s="1294">
        <v>228.34453794136991</v>
      </c>
    </row>
    <row r="46" spans="2:31" x14ac:dyDescent="0.2">
      <c r="B46" s="374">
        <v>2031</v>
      </c>
      <c r="C46" s="1268">
        <v>163384.93715879397</v>
      </c>
      <c r="D46" s="1269">
        <v>2643.2927064818005</v>
      </c>
      <c r="E46" s="1269">
        <v>9176.0073577961139</v>
      </c>
      <c r="F46" s="1269">
        <v>287201.62030703033</v>
      </c>
      <c r="G46" s="1269">
        <v>93353.247140829364</v>
      </c>
      <c r="H46" s="1270">
        <v>148191.24904736289</v>
      </c>
      <c r="I46" s="1200">
        <f t="shared" si="7"/>
        <v>0</v>
      </c>
      <c r="J46" s="375">
        <f t="shared" si="8"/>
        <v>0</v>
      </c>
      <c r="K46" s="375">
        <f t="shared" si="9"/>
        <v>0</v>
      </c>
      <c r="L46" s="375">
        <f t="shared" si="10"/>
        <v>0</v>
      </c>
      <c r="M46" s="1205">
        <f t="shared" si="11"/>
        <v>0</v>
      </c>
      <c r="N46" s="1295">
        <v>7.9599764527524544</v>
      </c>
      <c r="O46" s="1296">
        <v>8.6066966712107327</v>
      </c>
      <c r="P46" s="1296">
        <v>9.3015406226745103</v>
      </c>
      <c r="Q46" s="1303">
        <v>16.184883096726658</v>
      </c>
      <c r="R46" s="1303">
        <v>10.570008766729529</v>
      </c>
      <c r="S46" s="1304">
        <v>8.5720381116354645</v>
      </c>
      <c r="T46" s="1298">
        <v>1</v>
      </c>
      <c r="U46" s="1299">
        <v>1</v>
      </c>
      <c r="V46" s="1299">
        <v>1</v>
      </c>
      <c r="W46" s="1299">
        <v>1</v>
      </c>
      <c r="X46" s="1299">
        <v>1</v>
      </c>
      <c r="Y46" s="1300">
        <v>16.530767501197023</v>
      </c>
      <c r="Z46" s="1298">
        <v>0</v>
      </c>
      <c r="AA46" s="1299">
        <v>0</v>
      </c>
      <c r="AB46" s="1299">
        <v>0</v>
      </c>
      <c r="AC46" s="1299">
        <v>513.1265309274371</v>
      </c>
      <c r="AD46" s="1299">
        <v>0</v>
      </c>
      <c r="AE46" s="1300">
        <v>228.59668299780839</v>
      </c>
    </row>
    <row r="47" spans="2:31" x14ac:dyDescent="0.2">
      <c r="B47" s="370">
        <v>2032</v>
      </c>
      <c r="C47" s="1262">
        <v>163647.29087656995</v>
      </c>
      <c r="D47" s="1269">
        <v>2729.2248112554471</v>
      </c>
      <c r="E47" s="1269">
        <v>9179.3963506909022</v>
      </c>
      <c r="F47" s="1269">
        <v>264185.00529094046</v>
      </c>
      <c r="G47" s="1269">
        <v>91197.498811077516</v>
      </c>
      <c r="H47" s="1270">
        <v>137831.13869486202</v>
      </c>
      <c r="I47" s="1201">
        <f t="shared" si="7"/>
        <v>0</v>
      </c>
      <c r="J47" s="376">
        <f t="shared" si="8"/>
        <v>0</v>
      </c>
      <c r="K47" s="371">
        <f t="shared" si="9"/>
        <v>0</v>
      </c>
      <c r="L47" s="376">
        <f t="shared" si="10"/>
        <v>0</v>
      </c>
      <c r="M47" s="1206">
        <f t="shared" si="11"/>
        <v>0</v>
      </c>
      <c r="N47" s="1295">
        <v>8.0214709255018093</v>
      </c>
      <c r="O47" s="1284">
        <v>8.73563942763335</v>
      </c>
      <c r="P47" s="1284">
        <v>9.4456616870702543</v>
      </c>
      <c r="Q47" s="1305">
        <v>16.365442909495286</v>
      </c>
      <c r="R47" s="1305">
        <v>10.668781086590513</v>
      </c>
      <c r="S47" s="1306">
        <v>8.6864944745341486</v>
      </c>
      <c r="T47" s="1298">
        <v>1</v>
      </c>
      <c r="U47" s="1299">
        <v>1</v>
      </c>
      <c r="V47" s="1299">
        <v>1</v>
      </c>
      <c r="W47" s="1299">
        <v>1</v>
      </c>
      <c r="X47" s="1299">
        <v>1</v>
      </c>
      <c r="Y47" s="1300">
        <v>16.694220600595958</v>
      </c>
      <c r="Z47" s="1298">
        <v>0</v>
      </c>
      <c r="AA47" s="1299">
        <v>0</v>
      </c>
      <c r="AB47" s="1299">
        <v>0</v>
      </c>
      <c r="AC47" s="1299">
        <v>513.858539569649</v>
      </c>
      <c r="AD47" s="1299">
        <v>0</v>
      </c>
      <c r="AE47" s="1300">
        <v>228.75463473452299</v>
      </c>
    </row>
    <row r="48" spans="2:31" x14ac:dyDescent="0.2">
      <c r="B48" s="370">
        <v>2033</v>
      </c>
      <c r="C48" s="1262">
        <v>163724.32308695698</v>
      </c>
      <c r="D48" s="1269">
        <v>2774.1769951740066</v>
      </c>
      <c r="E48" s="1269">
        <v>9181.1691762525079</v>
      </c>
      <c r="F48" s="1269">
        <v>252144.71936856845</v>
      </c>
      <c r="G48" s="1269">
        <v>90069.799266694332</v>
      </c>
      <c r="H48" s="1270">
        <v>132411.63236240455</v>
      </c>
      <c r="I48" s="1201">
        <f t="shared" si="7"/>
        <v>0</v>
      </c>
      <c r="J48" s="371">
        <f t="shared" si="8"/>
        <v>0</v>
      </c>
      <c r="K48" s="371">
        <f t="shared" si="9"/>
        <v>0</v>
      </c>
      <c r="L48" s="371">
        <f t="shared" si="10"/>
        <v>0</v>
      </c>
      <c r="M48" s="1206">
        <f t="shared" si="11"/>
        <v>0</v>
      </c>
      <c r="N48" s="1295">
        <v>8.0395269119106274</v>
      </c>
      <c r="O48" s="1284">
        <v>8.8030910339560791</v>
      </c>
      <c r="P48" s="1284">
        <v>9.521053260572625</v>
      </c>
      <c r="Q48" s="1305">
        <v>16.459896058679234</v>
      </c>
      <c r="R48" s="1305">
        <v>10.7204501513731</v>
      </c>
      <c r="S48" s="1306">
        <v>8.7463680629819525</v>
      </c>
      <c r="T48" s="1298">
        <v>1</v>
      </c>
      <c r="U48" s="1299">
        <v>1</v>
      </c>
      <c r="V48" s="1299">
        <v>1</v>
      </c>
      <c r="W48" s="1299">
        <v>1</v>
      </c>
      <c r="X48" s="1299">
        <v>1</v>
      </c>
      <c r="Y48" s="1300">
        <v>16.779725009054168</v>
      </c>
      <c r="Z48" s="1298">
        <v>0</v>
      </c>
      <c r="AA48" s="1299">
        <v>0</v>
      </c>
      <c r="AB48" s="1299">
        <v>0</v>
      </c>
      <c r="AC48" s="1299">
        <v>514.24146265993477</v>
      </c>
      <c r="AD48" s="1299">
        <v>0</v>
      </c>
      <c r="AE48" s="1300">
        <v>228.83726130974486</v>
      </c>
    </row>
    <row r="49" spans="2:31" x14ac:dyDescent="0.2">
      <c r="B49" s="370">
        <v>2034</v>
      </c>
      <c r="C49" s="1262">
        <v>163799.77124309973</v>
      </c>
      <c r="D49" s="1269">
        <v>2795.4900135478242</v>
      </c>
      <c r="E49" s="1269">
        <v>9182.0097197027771</v>
      </c>
      <c r="F49" s="1269">
        <v>246436.10161699372</v>
      </c>
      <c r="G49" s="1269">
        <v>89535.12711031748</v>
      </c>
      <c r="H49" s="1270">
        <v>129842.10118567784</v>
      </c>
      <c r="I49" s="1201">
        <f t="shared" si="7"/>
        <v>0</v>
      </c>
      <c r="J49" s="371">
        <f t="shared" si="8"/>
        <v>0</v>
      </c>
      <c r="K49" s="371">
        <f t="shared" si="9"/>
        <v>0</v>
      </c>
      <c r="L49" s="371">
        <f t="shared" si="10"/>
        <v>0</v>
      </c>
      <c r="M49" s="1206">
        <f t="shared" si="11"/>
        <v>0</v>
      </c>
      <c r="N49" s="1295">
        <v>8.0572116034836725</v>
      </c>
      <c r="O49" s="1284">
        <v>8.8350716230972957</v>
      </c>
      <c r="P49" s="1284">
        <v>9.5567983979879347</v>
      </c>
      <c r="Q49" s="1305">
        <v>16.504678792876746</v>
      </c>
      <c r="R49" s="1305">
        <v>10.744947820475549</v>
      </c>
      <c r="S49" s="1306">
        <v>8.7747557135798946</v>
      </c>
      <c r="T49" s="1298">
        <v>1</v>
      </c>
      <c r="U49" s="1299">
        <v>1</v>
      </c>
      <c r="V49" s="1299">
        <v>1</v>
      </c>
      <c r="W49" s="1299">
        <v>1</v>
      </c>
      <c r="X49" s="1299">
        <v>1</v>
      </c>
      <c r="Y49" s="1300">
        <v>16.820264908779926</v>
      </c>
      <c r="Z49" s="1298">
        <v>0</v>
      </c>
      <c r="AA49" s="1299">
        <v>0</v>
      </c>
      <c r="AB49" s="1299">
        <v>0</v>
      </c>
      <c r="AC49" s="1299">
        <v>514.42301661677493</v>
      </c>
      <c r="AD49" s="1299">
        <v>0</v>
      </c>
      <c r="AE49" s="1300">
        <v>228.87643675267904</v>
      </c>
    </row>
    <row r="50" spans="2:31" ht="13.5" thickBot="1" x14ac:dyDescent="0.25">
      <c r="B50" s="377">
        <v>2035</v>
      </c>
      <c r="C50" s="1271">
        <v>163848.29249390995</v>
      </c>
      <c r="D50" s="1272">
        <v>2812.6879733511887</v>
      </c>
      <c r="E50" s="1272">
        <v>9182.6879733511887</v>
      </c>
      <c r="F50" s="1272">
        <v>241829.68797335122</v>
      </c>
      <c r="G50" s="1272">
        <v>89103.687973351189</v>
      </c>
      <c r="H50" s="1273">
        <v>127768.68797335122</v>
      </c>
      <c r="I50" s="1203">
        <f t="shared" si="7"/>
        <v>0</v>
      </c>
      <c r="J50" s="378">
        <f t="shared" si="8"/>
        <v>0</v>
      </c>
      <c r="K50" s="378">
        <f t="shared" si="9"/>
        <v>0</v>
      </c>
      <c r="L50" s="378">
        <f t="shared" si="10"/>
        <v>0</v>
      </c>
      <c r="M50" s="1208">
        <f t="shared" si="11"/>
        <v>0</v>
      </c>
      <c r="N50" s="1307">
        <v>8.0685847555815613</v>
      </c>
      <c r="O50" s="1290">
        <v>8.8608774886435011</v>
      </c>
      <c r="P50" s="1290">
        <v>9.5856419632517547</v>
      </c>
      <c r="Q50" s="1301">
        <v>16.540815000761768</v>
      </c>
      <c r="R50" s="1301">
        <v>10.764715547463368</v>
      </c>
      <c r="S50" s="1302">
        <v>8.7976623552076738</v>
      </c>
      <c r="T50" s="1308">
        <v>1</v>
      </c>
      <c r="U50" s="1309">
        <v>1</v>
      </c>
      <c r="V50" s="1309">
        <v>1</v>
      </c>
      <c r="W50" s="1309">
        <v>1</v>
      </c>
      <c r="X50" s="1309">
        <v>1</v>
      </c>
      <c r="Y50" s="1310">
        <v>16.852977476924305</v>
      </c>
      <c r="Z50" s="1308">
        <v>0</v>
      </c>
      <c r="AA50" s="1309">
        <v>0</v>
      </c>
      <c r="AB50" s="1309">
        <v>0</v>
      </c>
      <c r="AC50" s="1309">
        <v>514.56951663836333</v>
      </c>
      <c r="AD50" s="1309">
        <v>0</v>
      </c>
      <c r="AE50" s="1310">
        <v>228.90804830957092</v>
      </c>
    </row>
    <row r="51" spans="2:31" x14ac:dyDescent="0.2">
      <c r="B51" s="379">
        <v>2036</v>
      </c>
      <c r="C51" s="1259">
        <v>163848.29249390995</v>
      </c>
      <c r="D51" s="1260">
        <v>3006.1308015872487</v>
      </c>
      <c r="E51" s="1260">
        <v>9292.3319394996761</v>
      </c>
      <c r="F51" s="1260">
        <v>234468.98999465708</v>
      </c>
      <c r="G51" s="1260">
        <v>86753.900659282328</v>
      </c>
      <c r="H51" s="1261">
        <v>124643.58388225746</v>
      </c>
      <c r="I51" s="1204">
        <f t="shared" si="7"/>
        <v>0</v>
      </c>
      <c r="J51" s="380">
        <f t="shared" si="8"/>
        <v>0</v>
      </c>
      <c r="K51" s="380">
        <f t="shared" si="9"/>
        <v>0</v>
      </c>
      <c r="L51" s="380">
        <f t="shared" si="10"/>
        <v>0</v>
      </c>
      <c r="M51" s="1209">
        <f t="shared" si="11"/>
        <v>0</v>
      </c>
      <c r="N51" s="1277">
        <v>8.0827348383128879</v>
      </c>
      <c r="O51" s="1278">
        <v>8.9406892726786271</v>
      </c>
      <c r="P51" s="1278">
        <v>9.7197375914390829</v>
      </c>
      <c r="Q51" s="1311">
        <v>16.786022008841336</v>
      </c>
      <c r="R51" s="1311">
        <v>10.942723588096973</v>
      </c>
      <c r="S51" s="1312">
        <v>8.9358140398228461</v>
      </c>
      <c r="T51" s="1280">
        <v>1</v>
      </c>
      <c r="U51" s="1281">
        <v>1</v>
      </c>
      <c r="V51" s="1281">
        <v>1</v>
      </c>
      <c r="W51" s="1281">
        <v>1</v>
      </c>
      <c r="X51" s="1281">
        <v>1</v>
      </c>
      <c r="Y51" s="1282">
        <v>17.076790900834045</v>
      </c>
      <c r="Z51" s="1280">
        <v>0</v>
      </c>
      <c r="AA51" s="1281">
        <v>0</v>
      </c>
      <c r="AB51" s="1281">
        <v>0</v>
      </c>
      <c r="AC51" s="1281">
        <v>515.57784554270791</v>
      </c>
      <c r="AD51" s="1281">
        <v>0</v>
      </c>
      <c r="AE51" s="1282">
        <v>232.7333047185061</v>
      </c>
    </row>
    <row r="52" spans="2:31" x14ac:dyDescent="0.2">
      <c r="B52" s="370">
        <v>2037</v>
      </c>
      <c r="C52" s="1262">
        <v>163848.29249390995</v>
      </c>
      <c r="D52" s="1263">
        <v>3124.0809765162076</v>
      </c>
      <c r="E52" s="1263">
        <v>9359.1864468755593</v>
      </c>
      <c r="F52" s="1263">
        <v>229980.86488760091</v>
      </c>
      <c r="G52" s="1263">
        <v>85321.137153560368</v>
      </c>
      <c r="H52" s="1264">
        <v>122738.07734279608</v>
      </c>
      <c r="I52" s="1201">
        <f t="shared" si="7"/>
        <v>0</v>
      </c>
      <c r="J52" s="371">
        <f t="shared" si="8"/>
        <v>0</v>
      </c>
      <c r="K52" s="371">
        <f t="shared" si="9"/>
        <v>0</v>
      </c>
      <c r="L52" s="371">
        <f t="shared" si="10"/>
        <v>0</v>
      </c>
      <c r="M52" s="1206">
        <f t="shared" si="11"/>
        <v>0</v>
      </c>
      <c r="N52" s="1283">
        <v>8.0946677445201622</v>
      </c>
      <c r="O52" s="1284">
        <v>8.989353852152453</v>
      </c>
      <c r="P52" s="1284">
        <v>9.8015012988152126</v>
      </c>
      <c r="Q52" s="1305">
        <v>16.935534967065344</v>
      </c>
      <c r="R52" s="1305">
        <v>11.05126252811843</v>
      </c>
      <c r="S52" s="1306">
        <v>9.0200508942758066</v>
      </c>
      <c r="T52" s="1286">
        <v>1</v>
      </c>
      <c r="U52" s="1287">
        <v>1</v>
      </c>
      <c r="V52" s="1287">
        <v>1</v>
      </c>
      <c r="W52" s="1287">
        <v>1</v>
      </c>
      <c r="X52" s="1287">
        <v>1</v>
      </c>
      <c r="Y52" s="1288">
        <v>17.213259296909126</v>
      </c>
      <c r="Z52" s="1286">
        <v>0</v>
      </c>
      <c r="AA52" s="1287">
        <v>0</v>
      </c>
      <c r="AB52" s="1287">
        <v>0</v>
      </c>
      <c r="AC52" s="1287">
        <v>516.19266580633757</v>
      </c>
      <c r="AD52" s="1287">
        <v>0</v>
      </c>
      <c r="AE52" s="1288">
        <v>235.06572338037259</v>
      </c>
    </row>
    <row r="53" spans="2:31" x14ac:dyDescent="0.2">
      <c r="B53" s="370">
        <v>2038</v>
      </c>
      <c r="C53" s="1262">
        <v>163848.29249390995</v>
      </c>
      <c r="D53" s="1263">
        <v>3306.8269566216331</v>
      </c>
      <c r="E53" s="1263">
        <v>9462.7674079231347</v>
      </c>
      <c r="F53" s="1263">
        <v>223027.19294926972</v>
      </c>
      <c r="G53" s="1263">
        <v>83101.286515185726</v>
      </c>
      <c r="H53" s="1264">
        <v>119785.78277976633</v>
      </c>
      <c r="I53" s="1201">
        <f t="shared" si="7"/>
        <v>0</v>
      </c>
      <c r="J53" s="371">
        <f t="shared" si="8"/>
        <v>0</v>
      </c>
      <c r="K53" s="371">
        <f t="shared" si="9"/>
        <v>0</v>
      </c>
      <c r="L53" s="371">
        <f t="shared" si="10"/>
        <v>0</v>
      </c>
      <c r="M53" s="1206">
        <f t="shared" si="11"/>
        <v>0</v>
      </c>
      <c r="N53" s="1283">
        <v>8.1005862254693923</v>
      </c>
      <c r="O53" s="1284">
        <v>9.0647522674385606</v>
      </c>
      <c r="P53" s="1284">
        <v>9.9281818132824782</v>
      </c>
      <c r="Q53" s="1305">
        <v>17.167182712442276</v>
      </c>
      <c r="R53" s="1305">
        <v>11.219427221267654</v>
      </c>
      <c r="S53" s="1306">
        <v>9.1505631765787054</v>
      </c>
      <c r="T53" s="1286">
        <v>1</v>
      </c>
      <c r="U53" s="1287">
        <v>1</v>
      </c>
      <c r="V53" s="1287">
        <v>1</v>
      </c>
      <c r="W53" s="1287">
        <v>1</v>
      </c>
      <c r="X53" s="1287">
        <v>1</v>
      </c>
      <c r="Y53" s="1288">
        <v>17.424696463570196</v>
      </c>
      <c r="Z53" s="1286">
        <v>0</v>
      </c>
      <c r="AA53" s="1287">
        <v>0</v>
      </c>
      <c r="AB53" s="1287">
        <v>0</v>
      </c>
      <c r="AC53" s="1287">
        <v>517.14523693845626</v>
      </c>
      <c r="AD53" s="1287">
        <v>0</v>
      </c>
      <c r="AE53" s="1288">
        <v>238.67945379353827</v>
      </c>
    </row>
    <row r="54" spans="2:31" x14ac:dyDescent="0.2">
      <c r="B54" s="370">
        <v>2039</v>
      </c>
      <c r="C54" s="1262">
        <v>163848.29249390995</v>
      </c>
      <c r="D54" s="1263">
        <v>3579.9276425913326</v>
      </c>
      <c r="E54" s="1263">
        <v>9617.5616830101899</v>
      </c>
      <c r="F54" s="1263">
        <v>212635.43179933415</v>
      </c>
      <c r="G54" s="1263">
        <v>79783.879851900201</v>
      </c>
      <c r="H54" s="1264">
        <v>115373.79150158401</v>
      </c>
      <c r="I54" s="1201">
        <f t="shared" si="7"/>
        <v>0</v>
      </c>
      <c r="J54" s="371">
        <f t="shared" si="8"/>
        <v>0</v>
      </c>
      <c r="K54" s="371">
        <f t="shared" si="9"/>
        <v>0</v>
      </c>
      <c r="L54" s="371">
        <f t="shared" si="10"/>
        <v>0</v>
      </c>
      <c r="M54" s="1206">
        <f t="shared" si="11"/>
        <v>0</v>
      </c>
      <c r="N54" s="1283">
        <v>8.1041670415640823</v>
      </c>
      <c r="O54" s="1284">
        <v>9.1774297606659641</v>
      </c>
      <c r="P54" s="1284">
        <v>10.117496704805919</v>
      </c>
      <c r="Q54" s="1305">
        <v>17.513363559371314</v>
      </c>
      <c r="R54" s="1305">
        <v>11.470737225615995</v>
      </c>
      <c r="S54" s="1306">
        <v>9.3456043687506458</v>
      </c>
      <c r="T54" s="1286">
        <v>1</v>
      </c>
      <c r="U54" s="1287">
        <v>1</v>
      </c>
      <c r="V54" s="1287">
        <v>1</v>
      </c>
      <c r="W54" s="1287">
        <v>1</v>
      </c>
      <c r="X54" s="1287">
        <v>1</v>
      </c>
      <c r="Y54" s="1288">
        <v>17.740674058378655</v>
      </c>
      <c r="Z54" s="1286">
        <v>0</v>
      </c>
      <c r="AA54" s="1287">
        <v>0</v>
      </c>
      <c r="AB54" s="1287">
        <v>0</v>
      </c>
      <c r="AC54" s="1287">
        <v>518.56878578733642</v>
      </c>
      <c r="AD54" s="1287">
        <v>0</v>
      </c>
      <c r="AE54" s="1288">
        <v>244.07991324099501</v>
      </c>
    </row>
    <row r="55" spans="2:31" ht="13.5" thickBot="1" x14ac:dyDescent="0.25">
      <c r="B55" s="372">
        <v>2040</v>
      </c>
      <c r="C55" s="1265">
        <v>163848.29249390995</v>
      </c>
      <c r="D55" s="1266">
        <v>3966.808977488603</v>
      </c>
      <c r="E55" s="1266">
        <v>9836.847165825784</v>
      </c>
      <c r="F55" s="1266">
        <v>197914.2002823003</v>
      </c>
      <c r="G55" s="1266">
        <v>75084.357718765023</v>
      </c>
      <c r="H55" s="1267">
        <v>109123.65313522457</v>
      </c>
      <c r="I55" s="1202">
        <f t="shared" si="7"/>
        <v>0</v>
      </c>
      <c r="J55" s="373">
        <f t="shared" si="8"/>
        <v>0</v>
      </c>
      <c r="K55" s="373">
        <f t="shared" si="9"/>
        <v>0</v>
      </c>
      <c r="L55" s="373">
        <f t="shared" si="10"/>
        <v>0</v>
      </c>
      <c r="M55" s="1207">
        <f t="shared" si="11"/>
        <v>0</v>
      </c>
      <c r="N55" s="1289">
        <v>8.1043325932001693</v>
      </c>
      <c r="O55" s="1290">
        <v>9.3370515457153527</v>
      </c>
      <c r="P55" s="1290">
        <v>10.385684965441218</v>
      </c>
      <c r="Q55" s="1301">
        <v>18.003772097527218</v>
      </c>
      <c r="R55" s="1301">
        <v>11.826749330126463</v>
      </c>
      <c r="S55" s="1302">
        <v>9.6219046516280304</v>
      </c>
      <c r="T55" s="1292">
        <v>1</v>
      </c>
      <c r="U55" s="1293">
        <v>1</v>
      </c>
      <c r="V55" s="1293">
        <v>1</v>
      </c>
      <c r="W55" s="1293">
        <v>1</v>
      </c>
      <c r="X55" s="1293">
        <v>1</v>
      </c>
      <c r="Y55" s="1294">
        <v>18.188295906134432</v>
      </c>
      <c r="Z55" s="1292">
        <v>0</v>
      </c>
      <c r="AA55" s="1293">
        <v>0</v>
      </c>
      <c r="AB55" s="1293">
        <v>0</v>
      </c>
      <c r="AC55" s="1293">
        <v>520.58542106963432</v>
      </c>
      <c r="AD55" s="1293">
        <v>0</v>
      </c>
      <c r="AE55" s="1294">
        <v>251.73034060140986</v>
      </c>
    </row>
    <row r="56" spans="2:31" x14ac:dyDescent="0.2">
      <c r="B56" s="379">
        <v>2041</v>
      </c>
      <c r="C56" s="1259">
        <v>163848.29249390995</v>
      </c>
      <c r="D56" s="1260">
        <v>4475.3120013802509</v>
      </c>
      <c r="E56" s="1260">
        <v>10125.068181029012</v>
      </c>
      <c r="F56" s="1260">
        <v>178565.13878309805</v>
      </c>
      <c r="G56" s="1260">
        <v>68907.47349099649</v>
      </c>
      <c r="H56" s="1261">
        <v>100908.69425156861</v>
      </c>
      <c r="I56" s="1204">
        <f t="shared" si="7"/>
        <v>0</v>
      </c>
      <c r="J56" s="380">
        <f t="shared" si="8"/>
        <v>0</v>
      </c>
      <c r="K56" s="380">
        <f t="shared" si="9"/>
        <v>0</v>
      </c>
      <c r="L56" s="380">
        <f t="shared" si="10"/>
        <v>0</v>
      </c>
      <c r="M56" s="1209">
        <f t="shared" si="11"/>
        <v>0</v>
      </c>
      <c r="N56" s="1277">
        <v>8.1043630004564644</v>
      </c>
      <c r="O56" s="1296">
        <v>9.546852725185925</v>
      </c>
      <c r="P56" s="1296">
        <v>10.738182047114865</v>
      </c>
      <c r="Q56" s="1296">
        <v>18.648347583860197</v>
      </c>
      <c r="R56" s="1296">
        <v>12.294678938913803</v>
      </c>
      <c r="S56" s="1297">
        <v>9.9850638859254826</v>
      </c>
      <c r="T56" s="1280">
        <v>1</v>
      </c>
      <c r="U56" s="1281">
        <v>1</v>
      </c>
      <c r="V56" s="1281">
        <v>1</v>
      </c>
      <c r="W56" s="1281">
        <v>1</v>
      </c>
      <c r="X56" s="1281">
        <v>1</v>
      </c>
      <c r="Y56" s="1282">
        <v>18.776634093098703</v>
      </c>
      <c r="Z56" s="1280">
        <v>0</v>
      </c>
      <c r="AA56" s="1281">
        <v>0</v>
      </c>
      <c r="AB56" s="1281">
        <v>0</v>
      </c>
      <c r="AC56" s="1281">
        <v>523.23601453754441</v>
      </c>
      <c r="AD56" s="1281">
        <v>0</v>
      </c>
      <c r="AE56" s="1282">
        <v>261.78578938098815</v>
      </c>
    </row>
    <row r="57" spans="2:31" x14ac:dyDescent="0.2">
      <c r="B57" s="370">
        <v>2042</v>
      </c>
      <c r="C57" s="1262">
        <v>163848.29249390995</v>
      </c>
      <c r="D57" s="1263">
        <v>5081.6640911838313</v>
      </c>
      <c r="E57" s="1263">
        <v>10468.750335672448</v>
      </c>
      <c r="F57" s="1263">
        <v>155492.81998744991</v>
      </c>
      <c r="G57" s="1263">
        <v>61541.997802536796</v>
      </c>
      <c r="H57" s="1264">
        <v>91112.96590243571</v>
      </c>
      <c r="I57" s="1201">
        <f t="shared" si="7"/>
        <v>0</v>
      </c>
      <c r="J57" s="371">
        <f t="shared" si="8"/>
        <v>0</v>
      </c>
      <c r="K57" s="371">
        <f t="shared" si="9"/>
        <v>0</v>
      </c>
      <c r="L57" s="371">
        <f t="shared" si="10"/>
        <v>0</v>
      </c>
      <c r="M57" s="1206">
        <f t="shared" si="11"/>
        <v>0</v>
      </c>
      <c r="N57" s="1283">
        <v>8.1043847804208973</v>
      </c>
      <c r="O57" s="1284">
        <v>9.7970250499081164</v>
      </c>
      <c r="P57" s="1284">
        <v>11.158508637282834</v>
      </c>
      <c r="Q57" s="1284">
        <v>19.416955979112213</v>
      </c>
      <c r="R57" s="1284">
        <v>12.852650244566508</v>
      </c>
      <c r="S57" s="1285">
        <v>10.418104301226231</v>
      </c>
      <c r="T57" s="1286">
        <v>1</v>
      </c>
      <c r="U57" s="1287">
        <v>1</v>
      </c>
      <c r="V57" s="1287">
        <v>1</v>
      </c>
      <c r="W57" s="1287">
        <v>1</v>
      </c>
      <c r="X57" s="1287">
        <v>1</v>
      </c>
      <c r="Y57" s="1288">
        <v>19.47818368556101</v>
      </c>
      <c r="Z57" s="1286">
        <v>0</v>
      </c>
      <c r="AA57" s="1287">
        <v>0</v>
      </c>
      <c r="AB57" s="1287">
        <v>0</v>
      </c>
      <c r="AC57" s="1287">
        <v>526.39665039018269</v>
      </c>
      <c r="AD57" s="1287">
        <v>0</v>
      </c>
      <c r="AE57" s="1288">
        <v>273.77616523902674</v>
      </c>
    </row>
    <row r="58" spans="2:31" x14ac:dyDescent="0.2">
      <c r="B58" s="370">
        <v>2043</v>
      </c>
      <c r="C58" s="1262">
        <v>163848.29249390995</v>
      </c>
      <c r="D58" s="1263">
        <v>5726.1109785057797</v>
      </c>
      <c r="E58" s="1263">
        <v>10834.024734017163</v>
      </c>
      <c r="F58" s="1263">
        <v>130970.95508223971</v>
      </c>
      <c r="G58" s="1263">
        <v>53713.777267152793</v>
      </c>
      <c r="H58" s="1264">
        <v>80701.809167253887</v>
      </c>
      <c r="I58" s="1201">
        <f t="shared" si="7"/>
        <v>0</v>
      </c>
      <c r="J58" s="371">
        <f t="shared" si="8"/>
        <v>0</v>
      </c>
      <c r="K58" s="371">
        <f t="shared" si="9"/>
        <v>0</v>
      </c>
      <c r="L58" s="371">
        <f t="shared" si="10"/>
        <v>0</v>
      </c>
      <c r="M58" s="1206">
        <f t="shared" si="11"/>
        <v>0</v>
      </c>
      <c r="N58" s="1283">
        <v>8.1044016873015927</v>
      </c>
      <c r="O58" s="1284">
        <v>10.062914751077511</v>
      </c>
      <c r="P58" s="1284">
        <v>11.605242749768772</v>
      </c>
      <c r="Q58" s="1284">
        <v>20.233853118940889</v>
      </c>
      <c r="R58" s="1284">
        <v>13.445676766928022</v>
      </c>
      <c r="S58" s="1285">
        <v>10.878351000162446</v>
      </c>
      <c r="T58" s="1286">
        <v>1</v>
      </c>
      <c r="U58" s="1287">
        <v>1</v>
      </c>
      <c r="V58" s="1287">
        <v>1</v>
      </c>
      <c r="W58" s="1287">
        <v>1</v>
      </c>
      <c r="X58" s="1287">
        <v>1</v>
      </c>
      <c r="Y58" s="1288">
        <v>20.22380897286029</v>
      </c>
      <c r="Z58" s="1286">
        <v>0</v>
      </c>
      <c r="AA58" s="1287">
        <v>0</v>
      </c>
      <c r="AB58" s="1287">
        <v>0</v>
      </c>
      <c r="AC58" s="1287">
        <v>529.75585698226496</v>
      </c>
      <c r="AD58" s="1287">
        <v>0</v>
      </c>
      <c r="AE58" s="1288">
        <v>286.51985084590979</v>
      </c>
    </row>
    <row r="59" spans="2:31" x14ac:dyDescent="0.2">
      <c r="B59" s="370">
        <v>2044</v>
      </c>
      <c r="C59" s="1262">
        <v>163848.29249390995</v>
      </c>
      <c r="D59" s="1263">
        <v>6332.4630683093601</v>
      </c>
      <c r="E59" s="1263">
        <v>11177.706888660599</v>
      </c>
      <c r="F59" s="1263">
        <v>107898.6362865917</v>
      </c>
      <c r="G59" s="1263">
        <v>46348.301578693121</v>
      </c>
      <c r="H59" s="1264">
        <v>70906.080818120987</v>
      </c>
      <c r="I59" s="1201">
        <f t="shared" si="7"/>
        <v>0</v>
      </c>
      <c r="J59" s="371">
        <f t="shared" si="8"/>
        <v>0</v>
      </c>
      <c r="K59" s="371">
        <f t="shared" si="9"/>
        <v>0</v>
      </c>
      <c r="L59" s="371">
        <f t="shared" si="10"/>
        <v>0</v>
      </c>
      <c r="M59" s="1206">
        <f t="shared" si="11"/>
        <v>0</v>
      </c>
      <c r="N59" s="1283">
        <v>8.1044204062362173</v>
      </c>
      <c r="O59" s="1284">
        <v>10.313087075799702</v>
      </c>
      <c r="P59" s="1284">
        <v>12.025569339936739</v>
      </c>
      <c r="Q59" s="1284">
        <v>21.002461514192902</v>
      </c>
      <c r="R59" s="1284">
        <v>14.003648072580726</v>
      </c>
      <c r="S59" s="1285">
        <v>11.311391415463195</v>
      </c>
      <c r="T59" s="1286">
        <v>1</v>
      </c>
      <c r="U59" s="1287">
        <v>1</v>
      </c>
      <c r="V59" s="1287">
        <v>1</v>
      </c>
      <c r="W59" s="1287">
        <v>1</v>
      </c>
      <c r="X59" s="1287">
        <v>1</v>
      </c>
      <c r="Y59" s="1288">
        <v>20.925358565322597</v>
      </c>
      <c r="Z59" s="1286">
        <v>0</v>
      </c>
      <c r="AA59" s="1287">
        <v>0</v>
      </c>
      <c r="AB59" s="1287">
        <v>0</v>
      </c>
      <c r="AC59" s="1287">
        <v>532.91649283490324</v>
      </c>
      <c r="AD59" s="1287">
        <v>0</v>
      </c>
      <c r="AE59" s="1288">
        <v>298.51022670394838</v>
      </c>
    </row>
    <row r="60" spans="2:31" ht="13.5" thickBot="1" x14ac:dyDescent="0.25">
      <c r="B60" s="372">
        <v>2045</v>
      </c>
      <c r="C60" s="1265">
        <v>163848.29249390995</v>
      </c>
      <c r="D60" s="1266">
        <v>6840.9660922010125</v>
      </c>
      <c r="E60" s="1266">
        <v>11465.927903863829</v>
      </c>
      <c r="F60" s="1266">
        <v>88549.574787389225</v>
      </c>
      <c r="G60" s="1266">
        <v>40171.417350924537</v>
      </c>
      <c r="H60" s="1267">
        <v>62691.121934465038</v>
      </c>
      <c r="I60" s="1202">
        <f t="shared" si="7"/>
        <v>0</v>
      </c>
      <c r="J60" s="373">
        <f t="shared" si="8"/>
        <v>0</v>
      </c>
      <c r="K60" s="373">
        <f t="shared" si="9"/>
        <v>0</v>
      </c>
      <c r="L60" s="373">
        <f t="shared" si="10"/>
        <v>0</v>
      </c>
      <c r="M60" s="1207">
        <f t="shared" si="11"/>
        <v>0</v>
      </c>
      <c r="N60" s="1289">
        <v>8.1044311458601701</v>
      </c>
      <c r="O60" s="1290">
        <v>10.522888255270276</v>
      </c>
      <c r="P60" s="1290">
        <v>12.37806642161039</v>
      </c>
      <c r="Q60" s="1290">
        <v>21.647037000525888</v>
      </c>
      <c r="R60" s="1290">
        <v>14.471577681368069</v>
      </c>
      <c r="S60" s="1291">
        <v>11.674550649760647</v>
      </c>
      <c r="T60" s="1292">
        <v>1</v>
      </c>
      <c r="U60" s="1293">
        <v>1</v>
      </c>
      <c r="V60" s="1293">
        <v>1</v>
      </c>
      <c r="W60" s="1293">
        <v>1</v>
      </c>
      <c r="X60" s="1293">
        <v>1</v>
      </c>
      <c r="Y60" s="1294">
        <v>21.513696752286876</v>
      </c>
      <c r="Z60" s="1292">
        <v>0</v>
      </c>
      <c r="AA60" s="1293">
        <v>0</v>
      </c>
      <c r="AB60" s="1293">
        <v>0</v>
      </c>
      <c r="AC60" s="1293">
        <v>535.56708630281332</v>
      </c>
      <c r="AD60" s="1293">
        <v>0</v>
      </c>
      <c r="AE60" s="1294">
        <v>308.56567548352666</v>
      </c>
    </row>
    <row r="61" spans="2:31" x14ac:dyDescent="0.2">
      <c r="B61" s="379">
        <v>2046</v>
      </c>
      <c r="C61" s="1259">
        <v>163848.29249390995</v>
      </c>
      <c r="D61" s="1260">
        <v>7227.8474270982833</v>
      </c>
      <c r="E61" s="1260">
        <v>11685.213386679421</v>
      </c>
      <c r="F61" s="1260">
        <v>73828.34327035537</v>
      </c>
      <c r="G61" s="1260">
        <v>35471.895217789359</v>
      </c>
      <c r="H61" s="1261">
        <v>56440.983568105585</v>
      </c>
      <c r="I61" s="1204">
        <f t="shared" si="7"/>
        <v>0</v>
      </c>
      <c r="J61" s="380">
        <f t="shared" si="8"/>
        <v>0</v>
      </c>
      <c r="K61" s="380">
        <f t="shared" si="9"/>
        <v>0</v>
      </c>
      <c r="L61" s="380">
        <f t="shared" si="10"/>
        <v>0</v>
      </c>
      <c r="M61" s="1209">
        <f t="shared" si="11"/>
        <v>0</v>
      </c>
      <c r="N61" s="1277">
        <v>8.1044333679487188</v>
      </c>
      <c r="O61" s="1278">
        <v>10.682510040319665</v>
      </c>
      <c r="P61" s="1278">
        <v>12.646254682245688</v>
      </c>
      <c r="Q61" s="1278">
        <v>22.137445538681792</v>
      </c>
      <c r="R61" s="1278">
        <v>14.827589785878537</v>
      </c>
      <c r="S61" s="1279">
        <v>11.950850932638032</v>
      </c>
      <c r="T61" s="1280">
        <v>1</v>
      </c>
      <c r="U61" s="1281">
        <v>1</v>
      </c>
      <c r="V61" s="1281">
        <v>1</v>
      </c>
      <c r="W61" s="1281">
        <v>1</v>
      </c>
      <c r="X61" s="1281">
        <v>1</v>
      </c>
      <c r="Y61" s="1282">
        <v>21.961318600042649</v>
      </c>
      <c r="Z61" s="1280">
        <v>0</v>
      </c>
      <c r="AA61" s="1281">
        <v>0</v>
      </c>
      <c r="AB61" s="1281">
        <v>0</v>
      </c>
      <c r="AC61" s="1281">
        <v>537.58372158511122</v>
      </c>
      <c r="AD61" s="1281">
        <v>0</v>
      </c>
      <c r="AE61" s="1282">
        <v>316.21610284394148</v>
      </c>
    </row>
    <row r="62" spans="2:31" x14ac:dyDescent="0.2">
      <c r="B62" s="370">
        <v>2047</v>
      </c>
      <c r="C62" s="1262">
        <v>163848.29249390995</v>
      </c>
      <c r="D62" s="1263">
        <v>7500.9481130679824</v>
      </c>
      <c r="E62" s="1263">
        <v>11840.007661766478</v>
      </c>
      <c r="F62" s="1263">
        <v>63436.582120419829</v>
      </c>
      <c r="G62" s="1263">
        <v>32154.488554503849</v>
      </c>
      <c r="H62" s="1264">
        <v>52028.992289923233</v>
      </c>
      <c r="I62" s="1201">
        <f t="shared" si="7"/>
        <v>0</v>
      </c>
      <c r="J62" s="371">
        <f t="shared" si="8"/>
        <v>0</v>
      </c>
      <c r="K62" s="371">
        <f t="shared" si="9"/>
        <v>0</v>
      </c>
      <c r="L62" s="371">
        <f t="shared" si="10"/>
        <v>0</v>
      </c>
      <c r="M62" s="1206">
        <f t="shared" si="11"/>
        <v>0</v>
      </c>
      <c r="N62" s="1283">
        <v>8.1044320169487083</v>
      </c>
      <c r="O62" s="1284">
        <v>10.795187533547068</v>
      </c>
      <c r="P62" s="1284">
        <v>12.835569573769131</v>
      </c>
      <c r="Q62" s="1284">
        <v>22.48362638561083</v>
      </c>
      <c r="R62" s="1284">
        <v>15.078899790226878</v>
      </c>
      <c r="S62" s="1285">
        <v>12.145892124809974</v>
      </c>
      <c r="T62" s="1286">
        <v>1</v>
      </c>
      <c r="U62" s="1287">
        <v>1</v>
      </c>
      <c r="V62" s="1287">
        <v>1</v>
      </c>
      <c r="W62" s="1287">
        <v>1</v>
      </c>
      <c r="X62" s="1287">
        <v>1</v>
      </c>
      <c r="Y62" s="1288">
        <v>22.277296194851107</v>
      </c>
      <c r="Z62" s="1286">
        <v>0</v>
      </c>
      <c r="AA62" s="1287">
        <v>0</v>
      </c>
      <c r="AB62" s="1287">
        <v>0</v>
      </c>
      <c r="AC62" s="1287">
        <v>539.00727043399138</v>
      </c>
      <c r="AD62" s="1287">
        <v>0</v>
      </c>
      <c r="AE62" s="1288">
        <v>321.61656229139828</v>
      </c>
    </row>
    <row r="63" spans="2:31" x14ac:dyDescent="0.2">
      <c r="B63" s="370">
        <v>2048</v>
      </c>
      <c r="C63" s="1262">
        <v>163848.29249390995</v>
      </c>
      <c r="D63" s="1263">
        <v>7683.694093173408</v>
      </c>
      <c r="E63" s="1263">
        <v>11943.588622814053</v>
      </c>
      <c r="F63" s="1263">
        <v>56482.910182088526</v>
      </c>
      <c r="G63" s="1263">
        <v>29934.637916129235</v>
      </c>
      <c r="H63" s="1264">
        <v>49076.697726893472</v>
      </c>
      <c r="I63" s="1201">
        <f t="shared" si="7"/>
        <v>0</v>
      </c>
      <c r="J63" s="371">
        <f t="shared" si="8"/>
        <v>0</v>
      </c>
      <c r="K63" s="371">
        <f t="shared" si="9"/>
        <v>0</v>
      </c>
      <c r="L63" s="371">
        <f t="shared" si="10"/>
        <v>0</v>
      </c>
      <c r="M63" s="1206">
        <f t="shared" si="11"/>
        <v>0</v>
      </c>
      <c r="N63" s="1283">
        <v>8.1044267226986744</v>
      </c>
      <c r="O63" s="1284">
        <v>10.870585948833176</v>
      </c>
      <c r="P63" s="1284">
        <v>12.962250088236395</v>
      </c>
      <c r="Q63" s="1284">
        <v>22.715274130987765</v>
      </c>
      <c r="R63" s="1284">
        <v>15.247064483376098</v>
      </c>
      <c r="S63" s="1285">
        <v>12.276404407112873</v>
      </c>
      <c r="T63" s="1286">
        <v>1</v>
      </c>
      <c r="U63" s="1287">
        <v>1</v>
      </c>
      <c r="V63" s="1287">
        <v>1</v>
      </c>
      <c r="W63" s="1287">
        <v>1</v>
      </c>
      <c r="X63" s="1287">
        <v>1</v>
      </c>
      <c r="Y63" s="1288">
        <v>22.488733361512178</v>
      </c>
      <c r="Z63" s="1286">
        <v>0</v>
      </c>
      <c r="AA63" s="1287">
        <v>0</v>
      </c>
      <c r="AB63" s="1287">
        <v>0</v>
      </c>
      <c r="AC63" s="1287">
        <v>539.95984156611007</v>
      </c>
      <c r="AD63" s="1287">
        <v>0</v>
      </c>
      <c r="AE63" s="1288">
        <v>325.23029270456391</v>
      </c>
    </row>
    <row r="64" spans="2:31" x14ac:dyDescent="0.2">
      <c r="B64" s="370">
        <v>2049</v>
      </c>
      <c r="C64" s="1262">
        <v>163848.29249390995</v>
      </c>
      <c r="D64" s="1263">
        <v>7801.6442681023664</v>
      </c>
      <c r="E64" s="1263">
        <v>12010.443130189935</v>
      </c>
      <c r="F64" s="1263">
        <v>51994.785075032531</v>
      </c>
      <c r="G64" s="1263">
        <v>28501.874410407232</v>
      </c>
      <c r="H64" s="1264">
        <v>47171.191187432138</v>
      </c>
      <c r="I64" s="1201">
        <f t="shared" si="7"/>
        <v>0</v>
      </c>
      <c r="J64" s="371">
        <f t="shared" si="8"/>
        <v>0</v>
      </c>
      <c r="K64" s="371">
        <f t="shared" si="9"/>
        <v>0</v>
      </c>
      <c r="L64" s="371">
        <f t="shared" si="10"/>
        <v>0</v>
      </c>
      <c r="M64" s="1206">
        <f t="shared" si="11"/>
        <v>0</v>
      </c>
      <c r="N64" s="1283">
        <v>8.1044227545263041</v>
      </c>
      <c r="O64" s="1284">
        <v>10.919250528307002</v>
      </c>
      <c r="P64" s="1284">
        <v>13.044013795612525</v>
      </c>
      <c r="Q64" s="1284">
        <v>22.864787089211767</v>
      </c>
      <c r="R64" s="1284">
        <v>15.355603423397559</v>
      </c>
      <c r="S64" s="1285">
        <v>12.360641261565831</v>
      </c>
      <c r="T64" s="1286">
        <v>1</v>
      </c>
      <c r="U64" s="1287">
        <v>1</v>
      </c>
      <c r="V64" s="1287">
        <v>1</v>
      </c>
      <c r="W64" s="1287">
        <v>1</v>
      </c>
      <c r="X64" s="1287">
        <v>1</v>
      </c>
      <c r="Y64" s="1288">
        <v>22.625201757587259</v>
      </c>
      <c r="Z64" s="1286">
        <v>0</v>
      </c>
      <c r="AA64" s="1287">
        <v>0</v>
      </c>
      <c r="AB64" s="1287">
        <v>0</v>
      </c>
      <c r="AC64" s="1287">
        <v>540.57466182973974</v>
      </c>
      <c r="AD64" s="1287">
        <v>0</v>
      </c>
      <c r="AE64" s="1288">
        <v>327.56271136643045</v>
      </c>
    </row>
    <row r="65" spans="2:31" ht="13.5" thickBot="1" x14ac:dyDescent="0.25">
      <c r="B65" s="372">
        <v>2050</v>
      </c>
      <c r="C65" s="1265">
        <v>163848.29249390995</v>
      </c>
      <c r="D65" s="1266">
        <v>7995.0870963384223</v>
      </c>
      <c r="E65" s="1266">
        <v>12120.087096338422</v>
      </c>
      <c r="F65" s="1266">
        <v>44634.087096338422</v>
      </c>
      <c r="G65" s="1266">
        <v>26152.087096338422</v>
      </c>
      <c r="H65" s="1267">
        <v>44046.087096338422</v>
      </c>
      <c r="I65" s="1202">
        <f t="shared" si="7"/>
        <v>0</v>
      </c>
      <c r="J65" s="373">
        <f t="shared" si="8"/>
        <v>0</v>
      </c>
      <c r="K65" s="373">
        <f t="shared" si="9"/>
        <v>0</v>
      </c>
      <c r="L65" s="373">
        <f t="shared" si="10"/>
        <v>0</v>
      </c>
      <c r="M65" s="1207">
        <f t="shared" si="11"/>
        <v>0</v>
      </c>
      <c r="N65" s="1289">
        <v>8.1044081378346959</v>
      </c>
      <c r="O65" s="1290">
        <v>10.999062312342126</v>
      </c>
      <c r="P65" s="1290">
        <v>13.178109423799851</v>
      </c>
      <c r="Q65" s="1301">
        <v>23.109994097291334</v>
      </c>
      <c r="R65" s="1301">
        <v>15.533611464031161</v>
      </c>
      <c r="S65" s="1302">
        <v>12.498792946181002</v>
      </c>
      <c r="T65" s="1292">
        <v>1</v>
      </c>
      <c r="U65" s="1293">
        <v>1</v>
      </c>
      <c r="V65" s="1293">
        <v>1</v>
      </c>
      <c r="W65" s="1293">
        <v>1</v>
      </c>
      <c r="X65" s="1293">
        <v>1</v>
      </c>
      <c r="Y65" s="1294">
        <v>22.849015181496991</v>
      </c>
      <c r="Z65" s="1292">
        <v>0</v>
      </c>
      <c r="AA65" s="1293">
        <v>0</v>
      </c>
      <c r="AB65" s="1293">
        <v>0</v>
      </c>
      <c r="AC65" s="1293">
        <v>541.58299073408432</v>
      </c>
      <c r="AD65" s="1293">
        <v>0</v>
      </c>
      <c r="AE65" s="1294">
        <v>331.38796777536561</v>
      </c>
    </row>
    <row r="66" spans="2:31" ht="13.5" thickBot="1" x14ac:dyDescent="0.25">
      <c r="C66" s="344"/>
      <c r="D66" s="344"/>
      <c r="F66" s="344"/>
    </row>
    <row r="67" spans="2:31" ht="13.5" thickBot="1" x14ac:dyDescent="0.25">
      <c r="B67" s="1313"/>
      <c r="C67" s="384" t="s">
        <v>202</v>
      </c>
      <c r="D67" s="344"/>
      <c r="F67" s="344"/>
    </row>
    <row r="68" spans="2:31" x14ac:dyDescent="0.2">
      <c r="F68" s="381"/>
      <c r="G68" s="382"/>
      <c r="H68" s="381"/>
      <c r="I68" s="381"/>
      <c r="J68" s="381"/>
      <c r="K68" s="381"/>
      <c r="L68" s="381"/>
      <c r="M68" s="381"/>
      <c r="N68" s="381"/>
      <c r="O68" s="1130"/>
      <c r="P68" s="1130"/>
      <c r="Q68" s="1130"/>
      <c r="R68" s="1130"/>
      <c r="S68" s="1130"/>
    </row>
    <row r="69" spans="2:31" x14ac:dyDescent="0.2">
      <c r="D69" s="384"/>
      <c r="F69" s="381"/>
      <c r="G69" s="382"/>
      <c r="H69" s="381"/>
      <c r="I69" s="381"/>
      <c r="J69" s="381"/>
      <c r="K69" s="381"/>
      <c r="L69" s="381"/>
      <c r="M69" s="381"/>
      <c r="N69" s="381"/>
      <c r="O69" s="1130"/>
      <c r="P69" s="1130"/>
      <c r="Q69" s="1130"/>
      <c r="R69" s="1130"/>
      <c r="S69" s="1130"/>
    </row>
    <row r="70" spans="2:31" x14ac:dyDescent="0.2">
      <c r="B70" s="385"/>
      <c r="F70" s="381"/>
      <c r="G70" s="382"/>
      <c r="H70" s="381"/>
      <c r="I70" s="381"/>
      <c r="J70" s="381"/>
      <c r="K70" s="381"/>
      <c r="L70" s="381"/>
      <c r="M70" s="381"/>
      <c r="N70" s="381"/>
      <c r="O70" s="1130"/>
      <c r="P70" s="1130"/>
      <c r="Q70" s="1130"/>
      <c r="R70" s="1130"/>
      <c r="S70" s="1130"/>
    </row>
    <row r="71" spans="2:31" x14ac:dyDescent="0.2">
      <c r="B71" s="385"/>
      <c r="C71" s="385"/>
      <c r="D71" s="385"/>
      <c r="F71" s="381"/>
      <c r="G71" s="382"/>
      <c r="H71" s="381"/>
      <c r="I71" s="381"/>
      <c r="J71" s="381"/>
      <c r="K71" s="381"/>
      <c r="L71" s="381"/>
      <c r="M71" s="381"/>
      <c r="N71" s="381"/>
      <c r="O71" s="1130"/>
      <c r="P71" s="1130"/>
      <c r="Q71" s="1130"/>
      <c r="R71" s="1130"/>
      <c r="S71" s="1130"/>
    </row>
    <row r="72" spans="2:31" x14ac:dyDescent="0.2">
      <c r="F72" s="381"/>
      <c r="G72" s="382"/>
      <c r="H72" s="381"/>
      <c r="I72" s="381"/>
      <c r="J72" s="381"/>
      <c r="K72" s="381"/>
      <c r="L72" s="381"/>
      <c r="M72" s="381"/>
      <c r="N72" s="381"/>
      <c r="O72" s="1130"/>
      <c r="P72" s="1130"/>
      <c r="Q72" s="1130"/>
      <c r="R72" s="1130"/>
      <c r="S72" s="1130"/>
    </row>
    <row r="73" spans="2:31" x14ac:dyDescent="0.2">
      <c r="F73" s="381"/>
      <c r="G73" s="382"/>
      <c r="H73" s="381"/>
      <c r="I73" s="381"/>
      <c r="J73" s="381"/>
      <c r="K73" s="381"/>
      <c r="L73" s="381"/>
      <c r="M73" s="381"/>
      <c r="N73" s="381"/>
      <c r="O73" s="1130"/>
      <c r="P73" s="1130"/>
      <c r="Q73" s="1130"/>
      <c r="R73" s="1130"/>
      <c r="S73" s="1130"/>
    </row>
    <row r="74" spans="2:31" x14ac:dyDescent="0.2">
      <c r="F74" s="381"/>
      <c r="G74" s="382"/>
      <c r="H74" s="381"/>
      <c r="I74" s="381"/>
      <c r="J74" s="381"/>
      <c r="K74" s="381"/>
      <c r="L74" s="381"/>
      <c r="M74" s="381"/>
      <c r="N74" s="381"/>
      <c r="O74" s="1130"/>
      <c r="P74" s="1130"/>
      <c r="Q74" s="1130"/>
      <c r="R74" s="1130"/>
      <c r="S74" s="1130"/>
    </row>
    <row r="75" spans="2:31" x14ac:dyDescent="0.2">
      <c r="F75" s="381"/>
      <c r="G75" s="382"/>
      <c r="H75" s="381"/>
      <c r="I75" s="381"/>
      <c r="J75" s="381"/>
      <c r="K75" s="381"/>
      <c r="L75" s="381"/>
      <c r="M75" s="381"/>
      <c r="N75" s="381"/>
      <c r="O75" s="1130"/>
      <c r="P75" s="1130"/>
      <c r="Q75" s="1130"/>
      <c r="R75" s="1130"/>
      <c r="S75" s="1130"/>
    </row>
    <row r="76" spans="2:31" x14ac:dyDescent="0.2">
      <c r="F76" s="381"/>
      <c r="G76" s="382"/>
      <c r="H76" s="381"/>
      <c r="I76" s="381"/>
      <c r="J76" s="381"/>
      <c r="K76" s="381"/>
      <c r="L76" s="381"/>
      <c r="M76" s="381"/>
      <c r="N76" s="381"/>
      <c r="O76" s="1130"/>
      <c r="P76" s="1130"/>
      <c r="Q76" s="1130"/>
      <c r="R76" s="1130"/>
      <c r="S76" s="1130"/>
    </row>
    <row r="77" spans="2:31" x14ac:dyDescent="0.2">
      <c r="F77" s="381"/>
      <c r="G77" s="382"/>
      <c r="H77" s="381"/>
      <c r="I77" s="381"/>
      <c r="J77" s="381"/>
      <c r="K77" s="381"/>
      <c r="L77" s="381"/>
      <c r="M77" s="381"/>
      <c r="N77" s="381"/>
      <c r="O77" s="1130"/>
      <c r="P77" s="1130"/>
      <c r="Q77" s="1130"/>
      <c r="R77" s="1130"/>
      <c r="S77" s="1130"/>
    </row>
    <row r="78" spans="2:31" x14ac:dyDescent="0.2">
      <c r="F78" s="381"/>
      <c r="G78" s="382"/>
      <c r="H78" s="381"/>
      <c r="I78" s="381"/>
      <c r="J78" s="381"/>
      <c r="K78" s="381"/>
      <c r="L78" s="381"/>
      <c r="M78" s="381"/>
      <c r="N78" s="381"/>
      <c r="O78" s="1130"/>
      <c r="P78" s="1130"/>
      <c r="Q78" s="1130"/>
      <c r="R78" s="1130"/>
      <c r="S78" s="1130"/>
    </row>
    <row r="79" spans="2:31" x14ac:dyDescent="0.2">
      <c r="F79" s="381"/>
      <c r="G79" s="382"/>
      <c r="H79" s="381"/>
      <c r="I79" s="381"/>
      <c r="J79" s="381"/>
      <c r="K79" s="381"/>
      <c r="L79" s="381"/>
      <c r="M79" s="381"/>
      <c r="N79" s="381"/>
      <c r="O79" s="1130"/>
      <c r="P79" s="1130"/>
      <c r="Q79" s="1130"/>
      <c r="R79" s="1130"/>
      <c r="S79" s="1130"/>
    </row>
    <row r="80" spans="2:31" x14ac:dyDescent="0.2">
      <c r="F80" s="381"/>
      <c r="G80" s="382"/>
      <c r="H80" s="381"/>
      <c r="I80" s="381"/>
      <c r="J80" s="381"/>
      <c r="K80" s="381"/>
      <c r="L80" s="381"/>
      <c r="M80" s="381"/>
      <c r="N80" s="381"/>
      <c r="O80" s="1130"/>
      <c r="P80" s="1130"/>
      <c r="Q80" s="1130"/>
      <c r="R80" s="1130"/>
      <c r="S80" s="1130"/>
    </row>
    <row r="81" spans="6:19" x14ac:dyDescent="0.2">
      <c r="F81" s="381"/>
      <c r="G81" s="382"/>
      <c r="H81" s="381"/>
      <c r="I81" s="381"/>
      <c r="J81" s="381"/>
      <c r="K81" s="381"/>
      <c r="L81" s="381"/>
      <c r="M81" s="381"/>
      <c r="N81" s="381"/>
      <c r="O81" s="1130"/>
      <c r="P81" s="1130"/>
      <c r="Q81" s="1130"/>
      <c r="R81" s="1130"/>
      <c r="S81" s="1130"/>
    </row>
    <row r="82" spans="6:19" x14ac:dyDescent="0.2">
      <c r="F82" s="381"/>
      <c r="G82" s="382"/>
      <c r="H82" s="381"/>
      <c r="I82" s="381"/>
      <c r="J82" s="381"/>
      <c r="K82" s="381"/>
      <c r="L82" s="381"/>
      <c r="M82" s="381"/>
      <c r="N82" s="381"/>
      <c r="O82" s="1130"/>
      <c r="P82" s="1130"/>
      <c r="Q82" s="1130"/>
      <c r="R82" s="1130"/>
      <c r="S82" s="1130"/>
    </row>
    <row r="83" spans="6:19" x14ac:dyDescent="0.2">
      <c r="F83" s="381"/>
      <c r="G83" s="382"/>
      <c r="H83" s="381"/>
      <c r="I83" s="381"/>
      <c r="J83" s="381"/>
      <c r="K83" s="381"/>
      <c r="L83" s="381"/>
      <c r="M83" s="381"/>
      <c r="N83" s="381"/>
      <c r="O83" s="1130"/>
      <c r="P83" s="1130"/>
      <c r="Q83" s="1130"/>
      <c r="R83" s="1130"/>
      <c r="S83" s="1130"/>
    </row>
    <row r="84" spans="6:19" x14ac:dyDescent="0.2">
      <c r="F84" s="381"/>
      <c r="G84" s="382"/>
      <c r="H84" s="381"/>
      <c r="I84" s="381"/>
      <c r="J84" s="381"/>
      <c r="K84" s="381"/>
      <c r="L84" s="381"/>
      <c r="M84" s="381"/>
      <c r="N84" s="381"/>
      <c r="O84" s="1130"/>
      <c r="P84" s="1130"/>
      <c r="Q84" s="1130"/>
      <c r="R84" s="1130"/>
      <c r="S84" s="1130"/>
    </row>
    <row r="85" spans="6:19" x14ac:dyDescent="0.2">
      <c r="F85" s="381"/>
      <c r="G85" s="382"/>
      <c r="H85" s="381"/>
      <c r="I85" s="381"/>
      <c r="J85" s="381"/>
      <c r="K85" s="381"/>
      <c r="L85" s="381"/>
      <c r="M85" s="381"/>
      <c r="N85" s="381"/>
      <c r="O85" s="1130"/>
      <c r="P85" s="1130"/>
      <c r="Q85" s="1130"/>
      <c r="R85" s="1130"/>
      <c r="S85" s="1130"/>
    </row>
    <row r="86" spans="6:19" x14ac:dyDescent="0.2">
      <c r="F86" s="381"/>
      <c r="G86" s="382"/>
      <c r="H86" s="381"/>
      <c r="I86" s="381"/>
      <c r="J86" s="381"/>
      <c r="K86" s="381"/>
      <c r="L86" s="381"/>
      <c r="M86" s="381"/>
      <c r="N86" s="381"/>
      <c r="O86" s="1130"/>
      <c r="P86" s="1130"/>
      <c r="Q86" s="1130"/>
      <c r="R86" s="1130"/>
      <c r="S86" s="1130"/>
    </row>
    <row r="87" spans="6:19" x14ac:dyDescent="0.2">
      <c r="F87" s="381"/>
      <c r="G87" s="382"/>
      <c r="H87" s="381"/>
      <c r="I87" s="381"/>
      <c r="J87" s="381"/>
      <c r="K87" s="381"/>
      <c r="L87" s="381"/>
      <c r="M87" s="381"/>
      <c r="N87" s="381"/>
      <c r="O87" s="1130"/>
      <c r="P87" s="1130"/>
      <c r="Q87" s="1130"/>
      <c r="R87" s="1130"/>
      <c r="S87" s="1130"/>
    </row>
    <row r="88" spans="6:19" x14ac:dyDescent="0.2">
      <c r="F88" s="381"/>
      <c r="G88" s="382"/>
      <c r="H88" s="381"/>
      <c r="I88" s="381"/>
      <c r="J88" s="381"/>
      <c r="K88" s="381"/>
      <c r="L88" s="381"/>
      <c r="M88" s="381"/>
      <c r="N88" s="381"/>
      <c r="O88" s="1130"/>
      <c r="P88" s="1130"/>
      <c r="Q88" s="1130"/>
      <c r="R88" s="1130"/>
      <c r="S88" s="1130"/>
    </row>
    <row r="89" spans="6:19" x14ac:dyDescent="0.2">
      <c r="F89" s="381"/>
      <c r="G89" s="382"/>
      <c r="H89" s="381"/>
      <c r="I89" s="381"/>
      <c r="J89" s="381"/>
      <c r="K89" s="381"/>
      <c r="L89" s="381"/>
      <c r="M89" s="381"/>
      <c r="N89" s="381"/>
      <c r="O89" s="1130"/>
      <c r="P89" s="1130"/>
      <c r="Q89" s="1130"/>
      <c r="R89" s="1130"/>
      <c r="S89" s="1130"/>
    </row>
    <row r="90" spans="6:19" x14ac:dyDescent="0.2">
      <c r="F90" s="381"/>
      <c r="G90" s="382"/>
      <c r="H90" s="381"/>
      <c r="I90" s="381"/>
      <c r="J90" s="381"/>
      <c r="K90" s="381"/>
      <c r="L90" s="381"/>
      <c r="M90" s="381"/>
      <c r="N90" s="381"/>
      <c r="O90" s="1130"/>
      <c r="P90" s="1130"/>
      <c r="Q90" s="1130"/>
      <c r="R90" s="1130"/>
      <c r="S90" s="1130"/>
    </row>
    <row r="91" spans="6:19" x14ac:dyDescent="0.2">
      <c r="F91" s="381"/>
      <c r="G91" s="382"/>
      <c r="H91" s="381"/>
      <c r="I91" s="381"/>
      <c r="J91" s="381"/>
      <c r="K91" s="381"/>
      <c r="L91" s="381"/>
      <c r="M91" s="381"/>
      <c r="N91" s="381"/>
      <c r="O91" s="1130"/>
      <c r="P91" s="1130"/>
      <c r="Q91" s="1130"/>
      <c r="R91" s="1130"/>
      <c r="S91" s="1130"/>
    </row>
    <row r="92" spans="6:19" x14ac:dyDescent="0.2">
      <c r="F92" s="381"/>
      <c r="G92" s="382"/>
      <c r="H92" s="381"/>
      <c r="I92" s="381"/>
      <c r="J92" s="381"/>
      <c r="K92" s="381"/>
      <c r="L92" s="381"/>
      <c r="M92" s="381"/>
      <c r="N92" s="381"/>
      <c r="O92" s="1130"/>
      <c r="P92" s="1130"/>
      <c r="Q92" s="1130"/>
      <c r="R92" s="1130"/>
      <c r="S92" s="1130"/>
    </row>
    <row r="93" spans="6:19" x14ac:dyDescent="0.2">
      <c r="F93" s="381"/>
      <c r="G93" s="382"/>
      <c r="H93" s="381"/>
      <c r="I93" s="381"/>
      <c r="J93" s="381"/>
      <c r="K93" s="381"/>
      <c r="L93" s="381"/>
      <c r="M93" s="381"/>
      <c r="N93" s="381"/>
      <c r="O93" s="1130"/>
      <c r="P93" s="1130"/>
      <c r="Q93" s="1130"/>
      <c r="R93" s="1130"/>
      <c r="S93" s="1130"/>
    </row>
    <row r="94" spans="6:19" x14ac:dyDescent="0.2">
      <c r="F94" s="381"/>
      <c r="G94" s="382"/>
      <c r="H94" s="381"/>
      <c r="I94" s="381"/>
      <c r="J94" s="381"/>
      <c r="K94" s="381"/>
      <c r="L94" s="381"/>
      <c r="M94" s="381"/>
      <c r="N94" s="381"/>
      <c r="O94" s="1130"/>
      <c r="P94" s="1130"/>
      <c r="Q94" s="1130"/>
      <c r="R94" s="1130"/>
      <c r="S94" s="1130"/>
    </row>
    <row r="95" spans="6:19" x14ac:dyDescent="0.2">
      <c r="F95" s="381"/>
      <c r="G95" s="382"/>
      <c r="H95" s="381"/>
      <c r="I95" s="381"/>
      <c r="J95" s="381"/>
      <c r="K95" s="381"/>
      <c r="L95" s="381"/>
      <c r="M95" s="381"/>
      <c r="N95" s="381"/>
      <c r="O95" s="1130"/>
      <c r="P95" s="1130"/>
      <c r="Q95" s="1130"/>
      <c r="R95" s="1130"/>
      <c r="S95" s="1130"/>
    </row>
    <row r="96" spans="6:19" x14ac:dyDescent="0.2">
      <c r="F96" s="381"/>
      <c r="G96" s="382"/>
      <c r="H96" s="381"/>
      <c r="I96" s="381"/>
      <c r="J96" s="381"/>
      <c r="K96" s="381"/>
      <c r="L96" s="381"/>
      <c r="M96" s="381"/>
      <c r="N96" s="381"/>
      <c r="O96" s="1130"/>
      <c r="P96" s="1130"/>
      <c r="Q96" s="1130"/>
      <c r="R96" s="1130"/>
      <c r="S96" s="1130"/>
    </row>
    <row r="97" spans="6:19" x14ac:dyDescent="0.2">
      <c r="F97" s="381"/>
      <c r="G97" s="382"/>
      <c r="H97" s="381"/>
      <c r="I97" s="381"/>
      <c r="J97" s="381"/>
      <c r="K97" s="381"/>
      <c r="L97" s="381"/>
      <c r="M97" s="381"/>
      <c r="N97" s="381"/>
      <c r="O97" s="1130"/>
      <c r="P97" s="1130"/>
      <c r="Q97" s="1130"/>
      <c r="R97" s="1130"/>
      <c r="S97" s="1130"/>
    </row>
    <row r="98" spans="6:19" x14ac:dyDescent="0.2">
      <c r="F98" s="381"/>
      <c r="G98" s="382"/>
      <c r="H98" s="381"/>
      <c r="I98" s="381"/>
      <c r="J98" s="381"/>
      <c r="K98" s="381"/>
      <c r="L98" s="381"/>
      <c r="M98" s="381"/>
      <c r="N98" s="381"/>
      <c r="O98" s="381"/>
      <c r="P98" s="381"/>
    </row>
    <row r="99" spans="6:19" x14ac:dyDescent="0.2">
      <c r="F99" s="381"/>
      <c r="G99" s="382"/>
      <c r="H99" s="381"/>
      <c r="I99" s="381"/>
      <c r="J99" s="381"/>
      <c r="K99" s="381"/>
      <c r="L99" s="381"/>
      <c r="M99" s="381"/>
      <c r="N99" s="381"/>
      <c r="O99" s="381"/>
      <c r="P99" s="381"/>
    </row>
    <row r="100" spans="6:19" x14ac:dyDescent="0.2">
      <c r="F100" s="381"/>
      <c r="G100" s="382"/>
      <c r="H100" s="381"/>
      <c r="I100" s="381"/>
      <c r="J100" s="381"/>
      <c r="K100" s="381"/>
      <c r="L100" s="381"/>
      <c r="M100" s="381"/>
      <c r="N100" s="381"/>
      <c r="O100" s="381"/>
      <c r="P100" s="381"/>
    </row>
    <row r="101" spans="6:19" x14ac:dyDescent="0.2">
      <c r="F101" s="381"/>
      <c r="G101" s="382"/>
      <c r="H101" s="381"/>
      <c r="I101" s="381"/>
      <c r="J101" s="381"/>
      <c r="K101" s="381"/>
      <c r="L101" s="381"/>
      <c r="M101" s="381"/>
      <c r="N101" s="381"/>
      <c r="O101" s="381"/>
      <c r="P101" s="381"/>
    </row>
    <row r="102" spans="6:19" x14ac:dyDescent="0.2">
      <c r="F102" s="381"/>
      <c r="G102" s="382"/>
      <c r="H102" s="381"/>
      <c r="I102" s="381"/>
      <c r="J102" s="381"/>
      <c r="K102" s="381"/>
      <c r="L102" s="381"/>
      <c r="M102" s="381"/>
      <c r="N102" s="381"/>
      <c r="O102" s="381"/>
      <c r="P102" s="381"/>
    </row>
    <row r="103" spans="6:19" x14ac:dyDescent="0.2">
      <c r="F103" s="381"/>
      <c r="G103" s="382"/>
      <c r="H103" s="381"/>
      <c r="I103" s="381"/>
      <c r="J103" s="381"/>
      <c r="K103" s="381"/>
      <c r="L103" s="381"/>
      <c r="M103" s="381"/>
      <c r="N103" s="381"/>
      <c r="O103" s="381"/>
      <c r="P103" s="381"/>
    </row>
    <row r="104" spans="6:19" x14ac:dyDescent="0.2">
      <c r="F104" s="381"/>
      <c r="G104" s="382"/>
      <c r="H104" s="381"/>
      <c r="I104" s="381"/>
      <c r="J104" s="381"/>
      <c r="K104" s="381"/>
      <c r="L104" s="381"/>
      <c r="M104" s="381"/>
      <c r="N104" s="381"/>
      <c r="O104" s="381"/>
      <c r="P104" s="381"/>
    </row>
    <row r="105" spans="6:19" x14ac:dyDescent="0.2">
      <c r="F105" s="381"/>
      <c r="G105" s="382"/>
      <c r="H105" s="381"/>
      <c r="I105" s="381"/>
      <c r="J105" s="381"/>
      <c r="K105" s="381"/>
      <c r="L105" s="381"/>
      <c r="M105" s="381"/>
      <c r="N105" s="381"/>
      <c r="O105" s="381"/>
      <c r="P105" s="381"/>
    </row>
    <row r="106" spans="6:19" x14ac:dyDescent="0.2">
      <c r="F106" s="381"/>
      <c r="G106" s="382"/>
      <c r="H106" s="381"/>
      <c r="I106" s="381"/>
      <c r="J106" s="381"/>
      <c r="K106" s="381"/>
      <c r="L106" s="381"/>
      <c r="M106" s="381"/>
      <c r="N106" s="381"/>
      <c r="O106" s="381"/>
      <c r="P106" s="381"/>
    </row>
    <row r="107" spans="6:19" x14ac:dyDescent="0.2">
      <c r="F107" s="381"/>
      <c r="G107" s="382"/>
      <c r="H107" s="381"/>
      <c r="I107" s="381"/>
      <c r="J107" s="381"/>
      <c r="K107" s="381"/>
      <c r="L107" s="381"/>
      <c r="M107" s="381"/>
      <c r="N107" s="381"/>
      <c r="O107" s="381"/>
      <c r="P107" s="381"/>
    </row>
    <row r="108" spans="6:19" x14ac:dyDescent="0.2">
      <c r="F108" s="381"/>
      <c r="G108" s="382"/>
      <c r="H108" s="381"/>
      <c r="I108" s="381"/>
      <c r="J108" s="381"/>
      <c r="K108" s="381"/>
      <c r="L108" s="381"/>
      <c r="M108" s="381"/>
      <c r="N108" s="381"/>
      <c r="O108" s="381"/>
      <c r="P108" s="381"/>
    </row>
    <row r="109" spans="6:19" x14ac:dyDescent="0.2">
      <c r="F109" s="381"/>
      <c r="G109" s="382"/>
      <c r="H109" s="381"/>
      <c r="I109" s="381"/>
      <c r="J109" s="381"/>
      <c r="K109" s="381"/>
      <c r="L109" s="381"/>
      <c r="M109" s="381"/>
      <c r="N109" s="381"/>
      <c r="O109" s="381"/>
      <c r="P109" s="381"/>
    </row>
    <row r="110" spans="6:19" x14ac:dyDescent="0.2">
      <c r="F110" s="381"/>
      <c r="G110" s="382"/>
      <c r="H110" s="381"/>
      <c r="I110" s="381"/>
      <c r="J110" s="381"/>
      <c r="K110" s="381"/>
      <c r="L110" s="381"/>
      <c r="M110" s="381"/>
      <c r="N110" s="381"/>
      <c r="O110" s="381"/>
      <c r="P110" s="381"/>
    </row>
    <row r="111" spans="6:19" x14ac:dyDescent="0.2">
      <c r="F111" s="381"/>
      <c r="G111" s="382"/>
      <c r="H111" s="381"/>
      <c r="I111" s="381"/>
      <c r="J111" s="381"/>
      <c r="K111" s="381"/>
      <c r="L111" s="381"/>
      <c r="M111" s="381"/>
      <c r="N111" s="381"/>
      <c r="O111" s="381"/>
      <c r="P111" s="381"/>
    </row>
    <row r="112" spans="6:19" x14ac:dyDescent="0.2">
      <c r="F112" s="381"/>
      <c r="G112" s="382"/>
      <c r="H112" s="381"/>
      <c r="I112" s="381"/>
      <c r="J112" s="381"/>
      <c r="K112" s="381"/>
      <c r="L112" s="381"/>
      <c r="M112" s="381"/>
      <c r="N112" s="381"/>
      <c r="O112" s="381"/>
      <c r="P112" s="381"/>
    </row>
    <row r="113" spans="6:16" x14ac:dyDescent="0.2">
      <c r="F113" s="381"/>
      <c r="G113" s="382"/>
      <c r="H113" s="381"/>
      <c r="I113" s="381"/>
      <c r="J113" s="381"/>
      <c r="K113" s="381"/>
      <c r="L113" s="381"/>
      <c r="M113" s="381"/>
      <c r="N113" s="381"/>
      <c r="O113" s="381"/>
      <c r="P113" s="381"/>
    </row>
    <row r="114" spans="6:16" x14ac:dyDescent="0.2">
      <c r="F114" s="381"/>
      <c r="G114" s="382"/>
      <c r="H114" s="381"/>
      <c r="I114" s="381"/>
      <c r="J114" s="381"/>
      <c r="K114" s="381"/>
      <c r="L114" s="381"/>
      <c r="M114" s="381"/>
      <c r="N114" s="381"/>
      <c r="O114" s="381"/>
      <c r="P114" s="381"/>
    </row>
    <row r="115" spans="6:16" x14ac:dyDescent="0.2">
      <c r="F115" s="381"/>
      <c r="G115" s="382"/>
      <c r="H115" s="381"/>
      <c r="I115" s="381"/>
      <c r="J115" s="381"/>
      <c r="K115" s="381"/>
      <c r="L115" s="381"/>
      <c r="M115" s="381"/>
      <c r="N115" s="381"/>
      <c r="O115" s="381"/>
      <c r="P115" s="381"/>
    </row>
    <row r="116" spans="6:16" x14ac:dyDescent="0.2">
      <c r="F116" s="381"/>
      <c r="G116" s="382"/>
      <c r="H116" s="381"/>
      <c r="I116" s="381"/>
      <c r="J116" s="381"/>
      <c r="K116" s="381"/>
      <c r="L116" s="381"/>
      <c r="M116" s="381"/>
      <c r="N116" s="381"/>
      <c r="O116" s="381"/>
      <c r="P116" s="381"/>
    </row>
    <row r="117" spans="6:16" x14ac:dyDescent="0.2">
      <c r="F117" s="381"/>
      <c r="G117" s="382"/>
      <c r="H117" s="381"/>
      <c r="I117" s="381"/>
      <c r="J117" s="381"/>
      <c r="K117" s="381"/>
      <c r="L117" s="381"/>
      <c r="M117" s="381"/>
      <c r="N117" s="381"/>
      <c r="O117" s="381"/>
      <c r="P117" s="381"/>
    </row>
    <row r="118" spans="6:16" x14ac:dyDescent="0.2">
      <c r="F118" s="381"/>
      <c r="G118" s="382"/>
      <c r="H118" s="381"/>
      <c r="I118" s="381"/>
      <c r="J118" s="381"/>
      <c r="K118" s="381"/>
      <c r="L118" s="381"/>
      <c r="M118" s="381"/>
      <c r="N118" s="381"/>
      <c r="O118" s="381"/>
      <c r="P118" s="381"/>
    </row>
    <row r="119" spans="6:16" x14ac:dyDescent="0.2">
      <c r="F119" s="381"/>
      <c r="G119" s="382"/>
      <c r="H119" s="381"/>
      <c r="I119" s="381"/>
      <c r="J119" s="381"/>
      <c r="K119" s="381"/>
      <c r="L119" s="381"/>
      <c r="M119" s="381"/>
      <c r="N119" s="381"/>
      <c r="O119" s="381"/>
      <c r="P119" s="381"/>
    </row>
    <row r="120" spans="6:16" x14ac:dyDescent="0.2">
      <c r="F120" s="381"/>
      <c r="G120" s="382"/>
      <c r="H120" s="381"/>
      <c r="I120" s="381"/>
      <c r="J120" s="381"/>
      <c r="K120" s="381"/>
      <c r="L120" s="381"/>
      <c r="M120" s="381"/>
      <c r="N120" s="381"/>
      <c r="O120" s="381"/>
      <c r="P120" s="381"/>
    </row>
    <row r="121" spans="6:16" x14ac:dyDescent="0.2">
      <c r="F121" s="381"/>
      <c r="G121" s="382"/>
      <c r="H121" s="381"/>
      <c r="I121" s="381"/>
      <c r="J121" s="381"/>
      <c r="K121" s="381"/>
      <c r="L121" s="381"/>
      <c r="M121" s="381"/>
      <c r="N121" s="381"/>
      <c r="O121" s="381"/>
      <c r="P121" s="381"/>
    </row>
    <row r="122" spans="6:16" x14ac:dyDescent="0.2">
      <c r="F122" s="381"/>
      <c r="G122" s="382"/>
      <c r="H122" s="381"/>
      <c r="I122" s="381"/>
      <c r="J122" s="381"/>
      <c r="K122" s="381"/>
      <c r="L122" s="381"/>
      <c r="M122" s="381"/>
      <c r="N122" s="381"/>
      <c r="O122" s="381"/>
      <c r="P122" s="381"/>
    </row>
    <row r="123" spans="6:16" x14ac:dyDescent="0.2">
      <c r="F123" s="381"/>
      <c r="G123" s="382"/>
      <c r="H123" s="381"/>
      <c r="I123" s="381"/>
      <c r="J123" s="381"/>
      <c r="K123" s="381"/>
      <c r="L123" s="381"/>
      <c r="M123" s="381"/>
      <c r="N123" s="381"/>
      <c r="O123" s="381"/>
      <c r="P123" s="381"/>
    </row>
    <row r="124" spans="6:16" x14ac:dyDescent="0.2">
      <c r="F124" s="381"/>
      <c r="G124" s="382"/>
      <c r="H124" s="381"/>
      <c r="I124" s="381"/>
      <c r="J124" s="381"/>
      <c r="K124" s="381"/>
      <c r="L124" s="381"/>
      <c r="M124" s="381"/>
      <c r="N124" s="381"/>
      <c r="O124" s="381"/>
      <c r="P124" s="381"/>
    </row>
    <row r="125" spans="6:16" x14ac:dyDescent="0.2">
      <c r="F125" s="381"/>
      <c r="G125" s="382"/>
      <c r="H125" s="381"/>
      <c r="I125" s="381"/>
      <c r="J125" s="381"/>
      <c r="K125" s="381"/>
      <c r="L125" s="381"/>
      <c r="M125" s="381"/>
      <c r="N125" s="381"/>
      <c r="O125" s="381"/>
      <c r="P125" s="381"/>
    </row>
    <row r="126" spans="6:16" x14ac:dyDescent="0.2">
      <c r="F126" s="381"/>
      <c r="G126" s="382"/>
      <c r="H126" s="381"/>
      <c r="I126" s="381"/>
      <c r="J126" s="381"/>
      <c r="K126" s="381"/>
      <c r="L126" s="381"/>
      <c r="M126" s="381"/>
      <c r="N126" s="381"/>
      <c r="O126" s="381"/>
      <c r="P126" s="381"/>
    </row>
    <row r="127" spans="6:16" x14ac:dyDescent="0.2">
      <c r="F127" s="381"/>
      <c r="G127" s="382"/>
      <c r="H127" s="381"/>
      <c r="I127" s="381"/>
      <c r="J127" s="381"/>
      <c r="K127" s="381"/>
      <c r="L127" s="381"/>
      <c r="M127" s="381"/>
      <c r="N127" s="381"/>
      <c r="O127" s="381"/>
      <c r="P127" s="381"/>
    </row>
    <row r="128" spans="6:16" x14ac:dyDescent="0.2">
      <c r="F128" s="381"/>
      <c r="G128" s="382"/>
      <c r="H128" s="381"/>
      <c r="I128" s="381"/>
      <c r="J128" s="381"/>
      <c r="K128" s="381"/>
      <c r="L128" s="381"/>
      <c r="M128" s="381"/>
      <c r="N128" s="381"/>
      <c r="O128" s="381"/>
      <c r="P128" s="381"/>
    </row>
    <row r="129" spans="6:16" x14ac:dyDescent="0.2">
      <c r="F129" s="381"/>
      <c r="G129" s="382"/>
      <c r="H129" s="381"/>
      <c r="I129" s="381"/>
      <c r="J129" s="381"/>
      <c r="K129" s="381"/>
      <c r="L129" s="381"/>
      <c r="M129" s="381"/>
      <c r="N129" s="381"/>
      <c r="O129" s="381"/>
      <c r="P129" s="381"/>
    </row>
    <row r="130" spans="6:16" x14ac:dyDescent="0.2">
      <c r="F130" s="381"/>
      <c r="G130" s="382"/>
      <c r="H130" s="381"/>
      <c r="I130" s="381"/>
      <c r="J130" s="381"/>
      <c r="K130" s="381"/>
      <c r="L130" s="381"/>
      <c r="M130" s="381"/>
      <c r="N130" s="381"/>
      <c r="O130" s="381"/>
      <c r="P130" s="381"/>
    </row>
    <row r="131" spans="6:16" x14ac:dyDescent="0.2">
      <c r="F131" s="381"/>
      <c r="G131" s="382"/>
      <c r="H131" s="381"/>
      <c r="I131" s="381"/>
      <c r="J131" s="381"/>
      <c r="K131" s="381"/>
      <c r="L131" s="381"/>
      <c r="M131" s="381"/>
      <c r="N131" s="381"/>
      <c r="O131" s="381"/>
      <c r="P131" s="381"/>
    </row>
    <row r="132" spans="6:16" x14ac:dyDescent="0.2">
      <c r="F132" s="381"/>
      <c r="G132" s="382"/>
      <c r="H132" s="381"/>
      <c r="I132" s="381"/>
      <c r="J132" s="381"/>
      <c r="K132" s="381"/>
      <c r="L132" s="381"/>
      <c r="M132" s="381"/>
      <c r="N132" s="381"/>
      <c r="O132" s="381"/>
      <c r="P132" s="381"/>
    </row>
    <row r="133" spans="6:16" x14ac:dyDescent="0.2">
      <c r="F133" s="381"/>
      <c r="G133" s="382"/>
      <c r="H133" s="381"/>
      <c r="I133" s="381"/>
      <c r="J133" s="381"/>
      <c r="K133" s="381"/>
      <c r="L133" s="381"/>
      <c r="M133" s="381"/>
      <c r="N133" s="381"/>
      <c r="O133" s="381"/>
      <c r="P133" s="381"/>
    </row>
    <row r="134" spans="6:16" x14ac:dyDescent="0.2">
      <c r="F134" s="381"/>
      <c r="G134" s="382"/>
      <c r="H134" s="381"/>
      <c r="I134" s="381"/>
      <c r="J134" s="381"/>
      <c r="K134" s="381"/>
      <c r="L134" s="381"/>
      <c r="M134" s="381"/>
      <c r="N134" s="381"/>
      <c r="O134" s="381"/>
      <c r="P134" s="381"/>
    </row>
    <row r="135" spans="6:16" x14ac:dyDescent="0.2">
      <c r="F135" s="381"/>
      <c r="G135" s="382"/>
      <c r="H135" s="381"/>
      <c r="I135" s="381"/>
      <c r="J135" s="381"/>
      <c r="K135" s="381"/>
      <c r="L135" s="381"/>
      <c r="M135" s="381"/>
      <c r="N135" s="381"/>
      <c r="O135" s="381"/>
      <c r="P135" s="381"/>
    </row>
    <row r="136" spans="6:16" x14ac:dyDescent="0.2">
      <c r="F136" s="381"/>
      <c r="G136" s="382"/>
      <c r="H136" s="381"/>
      <c r="I136" s="381"/>
      <c r="J136" s="381"/>
      <c r="K136" s="381"/>
      <c r="L136" s="381"/>
      <c r="M136" s="381"/>
      <c r="N136" s="381"/>
      <c r="O136" s="381"/>
      <c r="P136" s="381"/>
    </row>
    <row r="137" spans="6:16" x14ac:dyDescent="0.2">
      <c r="F137" s="381"/>
      <c r="G137" s="382"/>
      <c r="H137" s="381"/>
      <c r="I137" s="381"/>
      <c r="J137" s="381"/>
      <c r="K137" s="381"/>
      <c r="L137" s="381"/>
      <c r="M137" s="381"/>
      <c r="N137" s="381"/>
      <c r="O137" s="381"/>
      <c r="P137" s="381"/>
    </row>
    <row r="138" spans="6:16" x14ac:dyDescent="0.2">
      <c r="F138" s="381"/>
      <c r="G138" s="382"/>
      <c r="H138" s="381"/>
      <c r="I138" s="381"/>
      <c r="J138" s="381"/>
      <c r="K138" s="381"/>
      <c r="L138" s="381"/>
      <c r="M138" s="381"/>
      <c r="N138" s="381"/>
      <c r="O138" s="381"/>
      <c r="P138" s="381"/>
    </row>
    <row r="139" spans="6:16" x14ac:dyDescent="0.2">
      <c r="F139" s="381"/>
      <c r="G139" s="382"/>
      <c r="H139" s="381"/>
      <c r="I139" s="381"/>
      <c r="J139" s="381"/>
      <c r="K139" s="381"/>
      <c r="L139" s="381"/>
      <c r="M139" s="381"/>
      <c r="N139" s="381"/>
      <c r="O139" s="381"/>
      <c r="P139" s="381"/>
    </row>
    <row r="140" spans="6:16" x14ac:dyDescent="0.2">
      <c r="F140" s="381"/>
      <c r="G140" s="382"/>
      <c r="H140" s="381"/>
      <c r="I140" s="381"/>
      <c r="J140" s="381"/>
      <c r="K140" s="381"/>
      <c r="L140" s="381"/>
      <c r="M140" s="381"/>
      <c r="N140" s="381"/>
      <c r="O140" s="381"/>
      <c r="P140" s="381"/>
    </row>
    <row r="141" spans="6:16" x14ac:dyDescent="0.2">
      <c r="F141" s="381"/>
      <c r="G141" s="382"/>
      <c r="H141" s="381"/>
      <c r="I141" s="381"/>
      <c r="J141" s="381"/>
      <c r="K141" s="381"/>
      <c r="L141" s="381"/>
      <c r="M141" s="381"/>
      <c r="N141" s="381"/>
      <c r="O141" s="381"/>
      <c r="P141" s="381"/>
    </row>
    <row r="142" spans="6:16" x14ac:dyDescent="0.2">
      <c r="F142" s="381"/>
      <c r="G142" s="382"/>
      <c r="H142" s="381"/>
      <c r="I142" s="381"/>
      <c r="J142" s="381"/>
      <c r="K142" s="381"/>
      <c r="L142" s="381"/>
      <c r="M142" s="381"/>
      <c r="N142" s="381"/>
      <c r="O142" s="381"/>
      <c r="P142" s="381"/>
    </row>
    <row r="143" spans="6:16" x14ac:dyDescent="0.2">
      <c r="F143" s="381"/>
      <c r="G143" s="382"/>
      <c r="H143" s="381"/>
      <c r="I143" s="381"/>
      <c r="J143" s="381"/>
      <c r="K143" s="381"/>
      <c r="L143" s="381"/>
      <c r="M143" s="381"/>
      <c r="N143" s="381"/>
      <c r="O143" s="381"/>
      <c r="P143" s="381"/>
    </row>
    <row r="144" spans="6:16" x14ac:dyDescent="0.2">
      <c r="F144" s="381"/>
      <c r="G144" s="382"/>
      <c r="H144" s="381"/>
      <c r="I144" s="381"/>
      <c r="J144" s="381"/>
      <c r="K144" s="381"/>
      <c r="L144" s="381"/>
      <c r="M144" s="381"/>
      <c r="N144" s="381"/>
      <c r="O144" s="381"/>
      <c r="P144" s="381"/>
    </row>
    <row r="145" spans="6:16" x14ac:dyDescent="0.2">
      <c r="F145" s="381"/>
      <c r="G145" s="382"/>
      <c r="H145" s="381"/>
      <c r="I145" s="381"/>
      <c r="J145" s="381"/>
      <c r="K145" s="381"/>
      <c r="L145" s="381"/>
      <c r="M145" s="381"/>
      <c r="N145" s="381"/>
      <c r="O145" s="381"/>
      <c r="P145" s="381"/>
    </row>
    <row r="146" spans="6:16" x14ac:dyDescent="0.2">
      <c r="F146" s="381"/>
      <c r="G146" s="382"/>
      <c r="H146" s="381"/>
      <c r="I146" s="381"/>
      <c r="J146" s="381"/>
      <c r="K146" s="381"/>
      <c r="L146" s="381"/>
      <c r="M146" s="381"/>
      <c r="N146" s="381"/>
      <c r="O146" s="381"/>
      <c r="P146" s="381"/>
    </row>
    <row r="147" spans="6:16" x14ac:dyDescent="0.2">
      <c r="F147" s="381"/>
      <c r="G147" s="382"/>
      <c r="H147" s="381"/>
      <c r="I147" s="381"/>
      <c r="J147" s="381"/>
      <c r="K147" s="381"/>
      <c r="L147" s="381"/>
      <c r="M147" s="381"/>
      <c r="N147" s="381"/>
      <c r="O147" s="381"/>
      <c r="P147" s="381"/>
    </row>
    <row r="148" spans="6:16" x14ac:dyDescent="0.2">
      <c r="F148" s="381"/>
      <c r="G148" s="382"/>
      <c r="H148" s="381"/>
      <c r="I148" s="381"/>
      <c r="J148" s="381"/>
      <c r="K148" s="381"/>
      <c r="L148" s="381"/>
      <c r="M148" s="381"/>
      <c r="N148" s="381"/>
      <c r="O148" s="381"/>
      <c r="P148" s="381"/>
    </row>
    <row r="149" spans="6:16" x14ac:dyDescent="0.2">
      <c r="F149" s="381"/>
      <c r="G149" s="382"/>
      <c r="H149" s="381"/>
      <c r="I149" s="381"/>
      <c r="J149" s="381"/>
      <c r="K149" s="381"/>
      <c r="L149" s="381"/>
      <c r="M149" s="381"/>
      <c r="N149" s="381"/>
      <c r="O149" s="381"/>
      <c r="P149" s="381"/>
    </row>
    <row r="150" spans="6:16" x14ac:dyDescent="0.2">
      <c r="F150" s="381"/>
      <c r="G150" s="382"/>
      <c r="H150" s="381"/>
      <c r="I150" s="381"/>
      <c r="J150" s="381"/>
      <c r="K150" s="381"/>
      <c r="L150" s="381"/>
      <c r="M150" s="381"/>
      <c r="N150" s="381"/>
      <c r="O150" s="381"/>
      <c r="P150" s="381"/>
    </row>
    <row r="151" spans="6:16" x14ac:dyDescent="0.2">
      <c r="F151" s="381"/>
      <c r="G151" s="382"/>
      <c r="H151" s="381"/>
      <c r="I151" s="381"/>
      <c r="J151" s="381"/>
      <c r="K151" s="381"/>
      <c r="L151" s="381"/>
      <c r="M151" s="381"/>
      <c r="N151" s="381"/>
      <c r="O151" s="381"/>
      <c r="P151" s="381"/>
    </row>
    <row r="152" spans="6:16" x14ac:dyDescent="0.2">
      <c r="F152" s="381"/>
      <c r="G152" s="382"/>
      <c r="H152" s="381"/>
      <c r="I152" s="381"/>
      <c r="J152" s="381"/>
      <c r="K152" s="381"/>
      <c r="L152" s="381"/>
      <c r="M152" s="381"/>
      <c r="N152" s="381"/>
      <c r="O152" s="381"/>
      <c r="P152" s="381"/>
    </row>
    <row r="153" spans="6:16" x14ac:dyDescent="0.2">
      <c r="F153" s="381"/>
      <c r="G153" s="382"/>
      <c r="H153" s="381"/>
      <c r="I153" s="381"/>
      <c r="J153" s="381"/>
      <c r="K153" s="381"/>
      <c r="L153" s="381"/>
      <c r="M153" s="381"/>
      <c r="N153" s="381"/>
      <c r="O153" s="381"/>
      <c r="P153" s="381"/>
    </row>
    <row r="154" spans="6:16" x14ac:dyDescent="0.2">
      <c r="F154" s="381"/>
      <c r="G154" s="382"/>
      <c r="H154" s="381"/>
      <c r="I154" s="381"/>
      <c r="J154" s="381"/>
      <c r="K154" s="381"/>
      <c r="L154" s="381"/>
      <c r="M154" s="381"/>
      <c r="N154" s="381"/>
      <c r="O154" s="381"/>
      <c r="P154" s="381"/>
    </row>
    <row r="155" spans="6:16" x14ac:dyDescent="0.2">
      <c r="F155" s="381"/>
      <c r="G155" s="382"/>
      <c r="H155" s="381"/>
      <c r="I155" s="381"/>
      <c r="J155" s="381"/>
      <c r="K155" s="381"/>
      <c r="L155" s="381"/>
      <c r="M155" s="381"/>
      <c r="N155" s="381"/>
      <c r="O155" s="381"/>
      <c r="P155" s="381"/>
    </row>
    <row r="156" spans="6:16" x14ac:dyDescent="0.2">
      <c r="F156" s="381"/>
      <c r="G156" s="382"/>
      <c r="H156" s="381"/>
      <c r="I156" s="381"/>
      <c r="J156" s="381"/>
      <c r="K156" s="381"/>
      <c r="L156" s="381"/>
      <c r="M156" s="381"/>
      <c r="N156" s="381"/>
      <c r="O156" s="381"/>
      <c r="P156" s="381"/>
    </row>
    <row r="157" spans="6:16" x14ac:dyDescent="0.2">
      <c r="F157" s="381"/>
      <c r="G157" s="382"/>
      <c r="H157" s="381"/>
      <c r="I157" s="381"/>
      <c r="J157" s="381"/>
      <c r="K157" s="381"/>
      <c r="L157" s="381"/>
      <c r="M157" s="381"/>
      <c r="N157" s="381"/>
      <c r="O157" s="381"/>
      <c r="P157" s="381"/>
    </row>
    <row r="158" spans="6:16" x14ac:dyDescent="0.2">
      <c r="F158" s="381"/>
      <c r="G158" s="382"/>
      <c r="H158" s="381"/>
      <c r="I158" s="381"/>
      <c r="J158" s="381"/>
      <c r="K158" s="381"/>
      <c r="L158" s="381"/>
      <c r="M158" s="381"/>
      <c r="N158" s="381"/>
      <c r="O158" s="381"/>
      <c r="P158" s="381"/>
    </row>
    <row r="159" spans="6:16" x14ac:dyDescent="0.2">
      <c r="F159" s="381"/>
      <c r="G159" s="382"/>
      <c r="H159" s="381"/>
      <c r="I159" s="381"/>
      <c r="J159" s="381"/>
      <c r="K159" s="381"/>
      <c r="L159" s="381"/>
      <c r="M159" s="381"/>
      <c r="N159" s="381"/>
      <c r="O159" s="381"/>
      <c r="P159" s="381"/>
    </row>
    <row r="160" spans="6:16" x14ac:dyDescent="0.2">
      <c r="F160" s="381"/>
      <c r="G160" s="382"/>
      <c r="H160" s="381"/>
      <c r="I160" s="381"/>
      <c r="J160" s="381"/>
      <c r="K160" s="381"/>
      <c r="L160" s="381"/>
      <c r="M160" s="381"/>
      <c r="N160" s="381"/>
      <c r="O160" s="381"/>
      <c r="P160" s="381"/>
    </row>
    <row r="161" spans="6:16" x14ac:dyDescent="0.2">
      <c r="F161" s="381"/>
      <c r="G161" s="382"/>
      <c r="H161" s="381"/>
      <c r="I161" s="381"/>
      <c r="J161" s="381"/>
      <c r="K161" s="381"/>
      <c r="L161" s="381"/>
      <c r="M161" s="381"/>
      <c r="N161" s="381"/>
      <c r="O161" s="381"/>
      <c r="P161" s="381"/>
    </row>
    <row r="162" spans="6:16" x14ac:dyDescent="0.2">
      <c r="F162" s="381"/>
      <c r="G162" s="382"/>
      <c r="H162" s="381"/>
      <c r="I162" s="381"/>
      <c r="J162" s="381"/>
      <c r="K162" s="381"/>
      <c r="L162" s="381"/>
      <c r="M162" s="381"/>
      <c r="N162" s="381"/>
      <c r="O162" s="381"/>
      <c r="P162" s="381"/>
    </row>
    <row r="163" spans="6:16" x14ac:dyDescent="0.2">
      <c r="F163" s="381"/>
      <c r="G163" s="382"/>
      <c r="H163" s="381"/>
      <c r="I163" s="381"/>
      <c r="J163" s="381"/>
      <c r="K163" s="381"/>
      <c r="L163" s="381"/>
      <c r="M163" s="381"/>
      <c r="N163" s="381"/>
      <c r="O163" s="381"/>
      <c r="P163" s="381"/>
    </row>
    <row r="164" spans="6:16" x14ac:dyDescent="0.2">
      <c r="F164" s="381"/>
      <c r="G164" s="382"/>
      <c r="H164" s="381"/>
      <c r="I164" s="381"/>
      <c r="J164" s="381"/>
      <c r="K164" s="381"/>
      <c r="L164" s="381"/>
      <c r="M164" s="381"/>
      <c r="N164" s="381"/>
      <c r="O164" s="381"/>
      <c r="P164" s="381"/>
    </row>
    <row r="165" spans="6:16" x14ac:dyDescent="0.2">
      <c r="F165" s="381"/>
      <c r="G165" s="382"/>
      <c r="H165" s="381"/>
      <c r="I165" s="381"/>
      <c r="J165" s="381"/>
      <c r="K165" s="381"/>
      <c r="L165" s="381"/>
      <c r="M165" s="381"/>
      <c r="N165" s="381"/>
      <c r="O165" s="381"/>
      <c r="P165" s="381"/>
    </row>
    <row r="166" spans="6:16" x14ac:dyDescent="0.2">
      <c r="F166" s="381"/>
      <c r="G166" s="382"/>
      <c r="H166" s="381"/>
      <c r="I166" s="381"/>
      <c r="J166" s="381"/>
      <c r="K166" s="381"/>
      <c r="L166" s="381"/>
      <c r="M166" s="381"/>
      <c r="N166" s="381"/>
      <c r="O166" s="381"/>
      <c r="P166" s="381"/>
    </row>
    <row r="167" spans="6:16" x14ac:dyDescent="0.2">
      <c r="F167" s="381"/>
      <c r="G167" s="382"/>
      <c r="H167" s="381"/>
      <c r="I167" s="381"/>
      <c r="J167" s="381"/>
      <c r="K167" s="381"/>
      <c r="L167" s="381"/>
      <c r="M167" s="381"/>
      <c r="N167" s="381"/>
      <c r="O167" s="381"/>
      <c r="P167" s="381"/>
    </row>
    <row r="168" spans="6:16" x14ac:dyDescent="0.2">
      <c r="F168" s="381"/>
      <c r="G168" s="382"/>
      <c r="H168" s="381"/>
      <c r="I168" s="381"/>
      <c r="J168" s="381"/>
      <c r="K168" s="381"/>
      <c r="L168" s="381"/>
      <c r="M168" s="381"/>
      <c r="N168" s="381"/>
      <c r="O168" s="381"/>
      <c r="P168" s="381"/>
    </row>
    <row r="169" spans="6:16" x14ac:dyDescent="0.2">
      <c r="F169" s="381"/>
      <c r="G169" s="382"/>
      <c r="H169" s="381"/>
      <c r="I169" s="381"/>
      <c r="J169" s="381"/>
      <c r="K169" s="381"/>
      <c r="L169" s="381"/>
      <c r="M169" s="381"/>
      <c r="N169" s="381"/>
      <c r="O169" s="381"/>
      <c r="P169" s="381"/>
    </row>
    <row r="170" spans="6:16" x14ac:dyDescent="0.2">
      <c r="F170" s="381"/>
      <c r="G170" s="382"/>
      <c r="H170" s="381"/>
      <c r="I170" s="381"/>
      <c r="J170" s="381"/>
      <c r="K170" s="381"/>
      <c r="L170" s="381"/>
      <c r="M170" s="381"/>
      <c r="N170" s="381"/>
      <c r="O170" s="381"/>
      <c r="P170" s="381"/>
    </row>
    <row r="171" spans="6:16" x14ac:dyDescent="0.2">
      <c r="F171" s="381"/>
      <c r="G171" s="382"/>
      <c r="H171" s="381"/>
      <c r="I171" s="381"/>
      <c r="J171" s="381"/>
      <c r="K171" s="381"/>
      <c r="L171" s="381"/>
      <c r="M171" s="381"/>
      <c r="N171" s="381"/>
      <c r="O171" s="381"/>
      <c r="P171" s="381"/>
    </row>
    <row r="172" spans="6:16" x14ac:dyDescent="0.2">
      <c r="F172" s="381"/>
      <c r="G172" s="382"/>
      <c r="H172" s="381"/>
      <c r="I172" s="381"/>
      <c r="J172" s="381"/>
      <c r="K172" s="381"/>
      <c r="L172" s="381"/>
      <c r="M172" s="381"/>
      <c r="N172" s="381"/>
      <c r="O172" s="381"/>
      <c r="P172" s="381"/>
    </row>
    <row r="173" spans="6:16" x14ac:dyDescent="0.2">
      <c r="F173" s="381"/>
      <c r="G173" s="382"/>
      <c r="H173" s="381"/>
      <c r="I173" s="381"/>
      <c r="J173" s="381"/>
      <c r="K173" s="381"/>
      <c r="L173" s="381"/>
      <c r="M173" s="381"/>
      <c r="N173" s="381"/>
      <c r="O173" s="381"/>
      <c r="P173" s="381"/>
    </row>
    <row r="174" spans="6:16" x14ac:dyDescent="0.2">
      <c r="F174" s="381"/>
      <c r="G174" s="382"/>
      <c r="H174" s="381"/>
      <c r="I174" s="381"/>
      <c r="J174" s="381"/>
      <c r="K174" s="381"/>
      <c r="L174" s="381"/>
      <c r="M174" s="381"/>
      <c r="N174" s="381"/>
      <c r="O174" s="381"/>
      <c r="P174" s="381"/>
    </row>
    <row r="175" spans="6:16" x14ac:dyDescent="0.2">
      <c r="F175" s="381"/>
      <c r="G175" s="382"/>
      <c r="H175" s="381"/>
      <c r="I175" s="381"/>
      <c r="J175" s="381"/>
      <c r="K175" s="381"/>
      <c r="L175" s="381"/>
      <c r="M175" s="381"/>
      <c r="N175" s="381"/>
      <c r="O175" s="381"/>
      <c r="P175" s="381"/>
    </row>
    <row r="176" spans="6:16" x14ac:dyDescent="0.2">
      <c r="F176" s="381"/>
      <c r="G176" s="382"/>
      <c r="H176" s="381"/>
      <c r="I176" s="381"/>
      <c r="J176" s="381"/>
      <c r="K176" s="381"/>
      <c r="L176" s="381"/>
      <c r="M176" s="381"/>
      <c r="N176" s="381"/>
      <c r="O176" s="381"/>
      <c r="P176" s="381"/>
    </row>
    <row r="177" spans="6:16" x14ac:dyDescent="0.2">
      <c r="F177" s="381"/>
      <c r="G177" s="382"/>
      <c r="H177" s="381"/>
      <c r="I177" s="381"/>
      <c r="J177" s="381"/>
      <c r="K177" s="381"/>
      <c r="L177" s="381"/>
      <c r="M177" s="381"/>
      <c r="N177" s="381"/>
      <c r="O177" s="381"/>
      <c r="P177" s="381"/>
    </row>
    <row r="178" spans="6:16" x14ac:dyDescent="0.2">
      <c r="F178" s="381"/>
      <c r="G178" s="382"/>
      <c r="H178" s="381"/>
      <c r="I178" s="381"/>
      <c r="J178" s="381"/>
      <c r="K178" s="381"/>
      <c r="L178" s="381"/>
      <c r="M178" s="381"/>
      <c r="N178" s="381"/>
      <c r="O178" s="381"/>
      <c r="P178" s="381"/>
    </row>
    <row r="179" spans="6:16" x14ac:dyDescent="0.2">
      <c r="F179" s="381"/>
      <c r="G179" s="382"/>
      <c r="H179" s="381"/>
      <c r="I179" s="381"/>
      <c r="J179" s="381"/>
      <c r="K179" s="381"/>
      <c r="L179" s="381"/>
      <c r="M179" s="381"/>
      <c r="N179" s="381"/>
      <c r="O179" s="381"/>
      <c r="P179" s="381"/>
    </row>
    <row r="180" spans="6:16" x14ac:dyDescent="0.2">
      <c r="F180" s="381"/>
      <c r="G180" s="382"/>
      <c r="H180" s="381"/>
      <c r="I180" s="381"/>
      <c r="J180" s="381"/>
      <c r="K180" s="381"/>
      <c r="L180" s="381"/>
      <c r="M180" s="381"/>
      <c r="N180" s="381"/>
      <c r="O180" s="381"/>
      <c r="P180" s="381"/>
    </row>
    <row r="181" spans="6:16" x14ac:dyDescent="0.2">
      <c r="F181" s="381"/>
      <c r="G181" s="382"/>
      <c r="H181" s="381"/>
      <c r="I181" s="381"/>
      <c r="J181" s="381"/>
      <c r="K181" s="381"/>
      <c r="L181" s="381"/>
      <c r="M181" s="381"/>
      <c r="N181" s="381"/>
      <c r="O181" s="381"/>
      <c r="P181" s="381"/>
    </row>
    <row r="182" spans="6:16" x14ac:dyDescent="0.2">
      <c r="F182" s="381"/>
      <c r="G182" s="382"/>
      <c r="H182" s="381"/>
      <c r="I182" s="381"/>
      <c r="J182" s="381"/>
      <c r="K182" s="381"/>
      <c r="L182" s="381"/>
      <c r="M182" s="381"/>
      <c r="N182" s="381"/>
      <c r="O182" s="381"/>
      <c r="P182" s="381"/>
    </row>
    <row r="183" spans="6:16" x14ac:dyDescent="0.2">
      <c r="F183" s="381"/>
      <c r="G183" s="382"/>
      <c r="H183" s="381"/>
      <c r="I183" s="381"/>
      <c r="J183" s="381"/>
      <c r="K183" s="381"/>
      <c r="L183" s="381"/>
      <c r="M183" s="381"/>
      <c r="N183" s="381"/>
      <c r="O183" s="381"/>
      <c r="P183" s="381"/>
    </row>
    <row r="184" spans="6:16" x14ac:dyDescent="0.2">
      <c r="F184" s="381"/>
      <c r="G184" s="382"/>
      <c r="H184" s="381"/>
      <c r="I184" s="381"/>
      <c r="J184" s="381"/>
      <c r="K184" s="381"/>
      <c r="L184" s="381"/>
      <c r="M184" s="381"/>
      <c r="N184" s="381"/>
      <c r="O184" s="381"/>
      <c r="P184" s="381"/>
    </row>
    <row r="185" spans="6:16" x14ac:dyDescent="0.2">
      <c r="F185" s="381"/>
      <c r="G185" s="382"/>
      <c r="H185" s="381"/>
      <c r="I185" s="381"/>
      <c r="J185" s="381"/>
      <c r="K185" s="381"/>
      <c r="L185" s="381"/>
      <c r="M185" s="381"/>
      <c r="N185" s="381"/>
      <c r="O185" s="381"/>
      <c r="P185" s="381"/>
    </row>
    <row r="186" spans="6:16" x14ac:dyDescent="0.2">
      <c r="F186" s="381"/>
      <c r="G186" s="382"/>
      <c r="H186" s="381"/>
      <c r="I186" s="381"/>
      <c r="J186" s="381"/>
      <c r="K186" s="381"/>
      <c r="L186" s="381"/>
      <c r="M186" s="381"/>
      <c r="N186" s="381"/>
      <c r="O186" s="381"/>
      <c r="P186" s="381"/>
    </row>
    <row r="187" spans="6:16" x14ac:dyDescent="0.2">
      <c r="F187" s="381"/>
      <c r="G187" s="382"/>
      <c r="H187" s="381"/>
      <c r="I187" s="381"/>
      <c r="J187" s="381"/>
      <c r="K187" s="381"/>
      <c r="L187" s="381"/>
      <c r="M187" s="381"/>
      <c r="N187" s="381"/>
      <c r="O187" s="381"/>
      <c r="P187" s="381"/>
    </row>
    <row r="188" spans="6:16" x14ac:dyDescent="0.2">
      <c r="F188" s="381"/>
      <c r="G188" s="382"/>
      <c r="H188" s="381"/>
      <c r="I188" s="381"/>
      <c r="J188" s="381"/>
      <c r="K188" s="381"/>
      <c r="L188" s="381"/>
      <c r="M188" s="381"/>
      <c r="N188" s="381"/>
      <c r="O188" s="381"/>
      <c r="P188" s="381"/>
    </row>
    <row r="189" spans="6:16" x14ac:dyDescent="0.2">
      <c r="F189" s="381"/>
      <c r="G189" s="382"/>
      <c r="H189" s="381"/>
      <c r="I189" s="381"/>
      <c r="J189" s="381"/>
      <c r="K189" s="381"/>
      <c r="L189" s="381"/>
      <c r="M189" s="381"/>
      <c r="N189" s="381"/>
      <c r="O189" s="381"/>
      <c r="P189" s="381"/>
    </row>
    <row r="190" spans="6:16" x14ac:dyDescent="0.2">
      <c r="F190" s="381"/>
      <c r="G190" s="382"/>
      <c r="H190" s="381"/>
      <c r="I190" s="381"/>
      <c r="J190" s="381"/>
      <c r="K190" s="381"/>
      <c r="L190" s="381"/>
      <c r="M190" s="381"/>
      <c r="N190" s="381"/>
      <c r="O190" s="381"/>
      <c r="P190" s="381"/>
    </row>
    <row r="191" spans="6:16" x14ac:dyDescent="0.2">
      <c r="F191" s="381"/>
      <c r="G191" s="382"/>
      <c r="H191" s="381"/>
      <c r="I191" s="381"/>
      <c r="J191" s="381"/>
      <c r="K191" s="381"/>
      <c r="L191" s="381"/>
      <c r="M191" s="381"/>
      <c r="N191" s="381"/>
      <c r="O191" s="381"/>
      <c r="P191" s="381"/>
    </row>
    <row r="192" spans="6:16" x14ac:dyDescent="0.2">
      <c r="F192" s="381"/>
      <c r="G192" s="382"/>
      <c r="H192" s="381"/>
      <c r="I192" s="381"/>
      <c r="J192" s="381"/>
      <c r="K192" s="381"/>
      <c r="L192" s="381"/>
      <c r="M192" s="381"/>
      <c r="N192" s="381"/>
      <c r="O192" s="381"/>
      <c r="P192" s="381"/>
    </row>
    <row r="193" spans="6:16" x14ac:dyDescent="0.2">
      <c r="F193" s="381"/>
      <c r="G193" s="382"/>
      <c r="H193" s="381"/>
      <c r="I193" s="381"/>
      <c r="J193" s="381"/>
      <c r="K193" s="381"/>
      <c r="L193" s="381"/>
      <c r="M193" s="381"/>
      <c r="N193" s="381"/>
      <c r="O193" s="381"/>
      <c r="P193" s="381"/>
    </row>
    <row r="194" spans="6:16" x14ac:dyDescent="0.2">
      <c r="F194" s="381"/>
      <c r="G194" s="382"/>
      <c r="H194" s="381"/>
      <c r="I194" s="381"/>
      <c r="J194" s="381"/>
      <c r="K194" s="381"/>
      <c r="L194" s="381"/>
      <c r="M194" s="381"/>
      <c r="N194" s="381"/>
      <c r="O194" s="381"/>
      <c r="P194" s="381"/>
    </row>
    <row r="195" spans="6:16" x14ac:dyDescent="0.2">
      <c r="F195" s="381"/>
      <c r="G195" s="382"/>
      <c r="H195" s="381"/>
      <c r="I195" s="381"/>
      <c r="J195" s="381"/>
      <c r="K195" s="381"/>
      <c r="L195" s="381"/>
      <c r="M195" s="381"/>
      <c r="N195" s="381"/>
      <c r="O195" s="381"/>
      <c r="P195" s="381"/>
    </row>
    <row r="196" spans="6:16" x14ac:dyDescent="0.2">
      <c r="F196" s="381"/>
      <c r="G196" s="382"/>
      <c r="H196" s="381"/>
      <c r="I196" s="381"/>
      <c r="J196" s="381"/>
      <c r="K196" s="381"/>
      <c r="L196" s="381"/>
      <c r="M196" s="381"/>
      <c r="N196" s="381"/>
      <c r="O196" s="381"/>
      <c r="P196" s="381"/>
    </row>
    <row r="197" spans="6:16" x14ac:dyDescent="0.2">
      <c r="F197" s="381"/>
      <c r="G197" s="382"/>
      <c r="H197" s="381"/>
      <c r="I197" s="381"/>
      <c r="J197" s="381"/>
      <c r="K197" s="381"/>
      <c r="L197" s="381"/>
      <c r="M197" s="381"/>
      <c r="N197" s="381"/>
      <c r="O197" s="381"/>
      <c r="P197" s="381"/>
    </row>
    <row r="198" spans="6:16" x14ac:dyDescent="0.2">
      <c r="F198" s="381"/>
      <c r="G198" s="382"/>
      <c r="H198" s="381"/>
      <c r="I198" s="381"/>
      <c r="J198" s="381"/>
      <c r="K198" s="381"/>
      <c r="L198" s="381"/>
      <c r="M198" s="381"/>
      <c r="N198" s="381"/>
      <c r="O198" s="381"/>
      <c r="P198" s="381"/>
    </row>
    <row r="199" spans="6:16" x14ac:dyDescent="0.2">
      <c r="F199" s="381"/>
      <c r="G199" s="382"/>
      <c r="H199" s="381"/>
      <c r="I199" s="381"/>
      <c r="J199" s="381"/>
      <c r="K199" s="381"/>
      <c r="L199" s="381"/>
      <c r="M199" s="381"/>
      <c r="N199" s="381"/>
      <c r="O199" s="381"/>
      <c r="P199" s="381"/>
    </row>
    <row r="200" spans="6:16" x14ac:dyDescent="0.2">
      <c r="F200" s="381"/>
      <c r="G200" s="382"/>
      <c r="H200" s="381"/>
      <c r="I200" s="381"/>
      <c r="J200" s="381"/>
      <c r="K200" s="381"/>
      <c r="L200" s="381"/>
      <c r="M200" s="381"/>
      <c r="N200" s="381"/>
      <c r="O200" s="381"/>
      <c r="P200" s="381"/>
    </row>
    <row r="201" spans="6:16" x14ac:dyDescent="0.2">
      <c r="F201" s="381"/>
      <c r="G201" s="382"/>
      <c r="H201" s="381"/>
      <c r="I201" s="381"/>
      <c r="J201" s="381"/>
      <c r="K201" s="381"/>
      <c r="L201" s="381"/>
      <c r="M201" s="381"/>
      <c r="N201" s="381"/>
      <c r="O201" s="381"/>
      <c r="P201" s="381"/>
    </row>
    <row r="202" spans="6:16" x14ac:dyDescent="0.2">
      <c r="F202" s="381"/>
      <c r="G202" s="382"/>
      <c r="H202" s="381"/>
      <c r="I202" s="381"/>
      <c r="J202" s="381"/>
      <c r="K202" s="381"/>
      <c r="L202" s="381"/>
      <c r="M202" s="381"/>
      <c r="N202" s="381"/>
      <c r="O202" s="381"/>
      <c r="P202" s="381"/>
    </row>
    <row r="203" spans="6:16" x14ac:dyDescent="0.2">
      <c r="F203" s="381"/>
      <c r="G203" s="382"/>
      <c r="H203" s="381"/>
      <c r="I203" s="381"/>
      <c r="J203" s="381"/>
      <c r="K203" s="381"/>
      <c r="L203" s="381"/>
      <c r="M203" s="381"/>
      <c r="N203" s="381"/>
      <c r="O203" s="381"/>
      <c r="P203" s="381"/>
    </row>
    <row r="204" spans="6:16" x14ac:dyDescent="0.2">
      <c r="F204" s="381"/>
      <c r="G204" s="382"/>
      <c r="H204" s="381"/>
      <c r="I204" s="381"/>
      <c r="J204" s="381"/>
      <c r="K204" s="381"/>
      <c r="L204" s="381"/>
      <c r="M204" s="381"/>
      <c r="N204" s="381"/>
      <c r="O204" s="381"/>
      <c r="P204" s="381"/>
    </row>
    <row r="205" spans="6:16" x14ac:dyDescent="0.2">
      <c r="F205" s="381"/>
      <c r="G205" s="382"/>
      <c r="H205" s="381"/>
      <c r="I205" s="381"/>
      <c r="J205" s="381"/>
      <c r="K205" s="381"/>
      <c r="L205" s="381"/>
      <c r="M205" s="381"/>
      <c r="N205" s="381"/>
      <c r="O205" s="381"/>
      <c r="P205" s="381"/>
    </row>
    <row r="206" spans="6:16" x14ac:dyDescent="0.2">
      <c r="F206" s="381"/>
      <c r="G206" s="382"/>
      <c r="H206" s="381"/>
      <c r="I206" s="381"/>
      <c r="J206" s="381"/>
      <c r="K206" s="381"/>
      <c r="L206" s="381"/>
      <c r="M206" s="381"/>
      <c r="N206" s="381"/>
      <c r="O206" s="381"/>
      <c r="P206" s="381"/>
    </row>
    <row r="207" spans="6:16" x14ac:dyDescent="0.2">
      <c r="F207" s="381"/>
      <c r="G207" s="382"/>
      <c r="H207" s="381"/>
      <c r="I207" s="381"/>
      <c r="J207" s="381"/>
      <c r="K207" s="381"/>
      <c r="L207" s="381"/>
      <c r="M207" s="381"/>
      <c r="N207" s="381"/>
      <c r="O207" s="381"/>
      <c r="P207" s="381"/>
    </row>
    <row r="208" spans="6:16" x14ac:dyDescent="0.2">
      <c r="F208" s="381"/>
      <c r="G208" s="382"/>
      <c r="H208" s="381"/>
      <c r="I208" s="381"/>
      <c r="J208" s="381"/>
      <c r="K208" s="381"/>
      <c r="L208" s="381"/>
      <c r="M208" s="381"/>
      <c r="N208" s="381"/>
      <c r="O208" s="381"/>
      <c r="P208" s="381"/>
    </row>
    <row r="209" spans="6:16" x14ac:dyDescent="0.2">
      <c r="F209" s="381"/>
      <c r="G209" s="382"/>
      <c r="H209" s="381"/>
      <c r="I209" s="381"/>
      <c r="J209" s="381"/>
      <c r="K209" s="381"/>
      <c r="L209" s="381"/>
      <c r="M209" s="381"/>
      <c r="N209" s="381"/>
      <c r="O209" s="381"/>
      <c r="P209" s="381"/>
    </row>
    <row r="210" spans="6:16" x14ac:dyDescent="0.2">
      <c r="F210" s="381"/>
      <c r="G210" s="382"/>
      <c r="H210" s="381"/>
      <c r="I210" s="381"/>
      <c r="J210" s="381"/>
      <c r="K210" s="381"/>
      <c r="L210" s="381"/>
      <c r="M210" s="381"/>
      <c r="N210" s="381"/>
      <c r="O210" s="381"/>
      <c r="P210" s="381"/>
    </row>
    <row r="211" spans="6:16" x14ac:dyDescent="0.2">
      <c r="F211" s="381"/>
      <c r="G211" s="382"/>
      <c r="H211" s="381"/>
      <c r="I211" s="381"/>
      <c r="J211" s="381"/>
      <c r="K211" s="381"/>
      <c r="L211" s="381"/>
      <c r="M211" s="381"/>
      <c r="N211" s="381"/>
      <c r="O211" s="381"/>
      <c r="P211" s="381"/>
    </row>
    <row r="212" spans="6:16" x14ac:dyDescent="0.2">
      <c r="F212" s="381"/>
      <c r="G212" s="382"/>
      <c r="H212" s="381"/>
      <c r="I212" s="381"/>
      <c r="J212" s="381"/>
      <c r="K212" s="381"/>
      <c r="L212" s="381"/>
      <c r="M212" s="381"/>
      <c r="N212" s="381"/>
      <c r="O212" s="381"/>
      <c r="P212" s="381"/>
    </row>
    <row r="213" spans="6:16" x14ac:dyDescent="0.2">
      <c r="F213" s="381"/>
      <c r="G213" s="382"/>
      <c r="H213" s="381"/>
      <c r="I213" s="381"/>
      <c r="J213" s="381"/>
      <c r="K213" s="381"/>
      <c r="L213" s="381"/>
      <c r="M213" s="381"/>
      <c r="N213" s="381"/>
      <c r="O213" s="381"/>
      <c r="P213" s="381"/>
    </row>
    <row r="214" spans="6:16" x14ac:dyDescent="0.2">
      <c r="F214" s="381"/>
      <c r="G214" s="382"/>
      <c r="H214" s="381"/>
      <c r="I214" s="381"/>
      <c r="J214" s="381"/>
      <c r="K214" s="381"/>
      <c r="L214" s="381"/>
      <c r="M214" s="381"/>
      <c r="N214" s="381"/>
      <c r="O214" s="381"/>
      <c r="P214" s="381"/>
    </row>
    <row r="215" spans="6:16" x14ac:dyDescent="0.2">
      <c r="F215" s="381"/>
      <c r="G215" s="382"/>
      <c r="H215" s="381"/>
      <c r="I215" s="381"/>
      <c r="J215" s="381"/>
      <c r="K215" s="381"/>
      <c r="L215" s="381"/>
      <c r="M215" s="381"/>
      <c r="N215" s="381"/>
      <c r="O215" s="381"/>
      <c r="P215" s="381"/>
    </row>
    <row r="216" spans="6:16" x14ac:dyDescent="0.2">
      <c r="F216" s="381"/>
      <c r="G216" s="382"/>
      <c r="H216" s="381"/>
      <c r="I216" s="381"/>
      <c r="J216" s="381"/>
      <c r="K216" s="381"/>
      <c r="L216" s="381"/>
      <c r="M216" s="381"/>
      <c r="N216" s="381"/>
      <c r="O216" s="381"/>
      <c r="P216" s="381"/>
    </row>
    <row r="217" spans="6:16" x14ac:dyDescent="0.2">
      <c r="F217" s="381"/>
      <c r="G217" s="382"/>
      <c r="H217" s="381"/>
      <c r="I217" s="381"/>
      <c r="J217" s="381"/>
      <c r="K217" s="381"/>
      <c r="L217" s="381"/>
      <c r="M217" s="381"/>
      <c r="N217" s="381"/>
      <c r="O217" s="381"/>
      <c r="P217" s="381"/>
    </row>
    <row r="218" spans="6:16" x14ac:dyDescent="0.2">
      <c r="F218" s="381"/>
      <c r="G218" s="382"/>
      <c r="H218" s="381"/>
      <c r="I218" s="381"/>
      <c r="J218" s="381"/>
      <c r="K218" s="381"/>
      <c r="L218" s="381"/>
      <c r="M218" s="381"/>
      <c r="N218" s="381"/>
      <c r="O218" s="381"/>
      <c r="P218" s="381"/>
    </row>
    <row r="219" spans="6:16" x14ac:dyDescent="0.2">
      <c r="F219" s="381"/>
      <c r="G219" s="382"/>
      <c r="H219" s="381"/>
      <c r="I219" s="381"/>
      <c r="J219" s="381"/>
      <c r="K219" s="381"/>
      <c r="L219" s="381"/>
      <c r="M219" s="381"/>
      <c r="N219" s="381"/>
      <c r="O219" s="381"/>
      <c r="P219" s="381"/>
    </row>
    <row r="220" spans="6:16" x14ac:dyDescent="0.2">
      <c r="F220" s="381"/>
      <c r="G220" s="382"/>
      <c r="H220" s="381"/>
      <c r="I220" s="381"/>
      <c r="J220" s="381"/>
      <c r="K220" s="381"/>
      <c r="L220" s="381"/>
      <c r="M220" s="381"/>
      <c r="N220" s="381"/>
      <c r="O220" s="381"/>
      <c r="P220" s="381"/>
    </row>
    <row r="221" spans="6:16" x14ac:dyDescent="0.2">
      <c r="F221" s="381"/>
      <c r="G221" s="382"/>
      <c r="H221" s="381"/>
      <c r="I221" s="381"/>
      <c r="J221" s="381"/>
      <c r="K221" s="381"/>
      <c r="L221" s="381"/>
      <c r="M221" s="381"/>
      <c r="N221" s="381"/>
      <c r="O221" s="381"/>
      <c r="P221" s="381"/>
    </row>
    <row r="222" spans="6:16" x14ac:dyDescent="0.2">
      <c r="F222" s="381"/>
      <c r="G222" s="382"/>
      <c r="H222" s="381"/>
      <c r="I222" s="381"/>
      <c r="J222" s="381"/>
      <c r="K222" s="381"/>
      <c r="L222" s="381"/>
      <c r="M222" s="381"/>
      <c r="N222" s="381"/>
      <c r="O222" s="381"/>
      <c r="P222" s="381"/>
    </row>
    <row r="223" spans="6:16" x14ac:dyDescent="0.2">
      <c r="F223" s="381"/>
      <c r="G223" s="382"/>
      <c r="H223" s="381"/>
      <c r="I223" s="381"/>
      <c r="J223" s="381"/>
      <c r="K223" s="381"/>
      <c r="L223" s="381"/>
      <c r="M223" s="381"/>
      <c r="N223" s="381"/>
      <c r="O223" s="381"/>
      <c r="P223" s="381"/>
    </row>
    <row r="224" spans="6:16" x14ac:dyDescent="0.2">
      <c r="F224" s="381"/>
      <c r="G224" s="382"/>
      <c r="H224" s="381"/>
      <c r="I224" s="381"/>
      <c r="J224" s="381"/>
      <c r="K224" s="381"/>
      <c r="L224" s="381"/>
      <c r="M224" s="381"/>
      <c r="N224" s="381"/>
      <c r="O224" s="381"/>
      <c r="P224" s="381"/>
    </row>
    <row r="225" spans="6:16" x14ac:dyDescent="0.2">
      <c r="F225" s="381"/>
      <c r="G225" s="382"/>
      <c r="H225" s="381"/>
      <c r="I225" s="381"/>
      <c r="J225" s="381"/>
      <c r="K225" s="381"/>
      <c r="L225" s="381"/>
      <c r="M225" s="381"/>
      <c r="N225" s="381"/>
      <c r="O225" s="381"/>
      <c r="P225" s="381"/>
    </row>
    <row r="226" spans="6:16" x14ac:dyDescent="0.2">
      <c r="F226" s="381"/>
      <c r="G226" s="382"/>
      <c r="H226" s="381"/>
      <c r="I226" s="381"/>
      <c r="J226" s="381"/>
      <c r="K226" s="381"/>
      <c r="L226" s="381"/>
      <c r="M226" s="381"/>
      <c r="N226" s="381"/>
      <c r="O226" s="381"/>
      <c r="P226" s="381"/>
    </row>
    <row r="227" spans="6:16" x14ac:dyDescent="0.2">
      <c r="F227" s="381"/>
      <c r="G227" s="382"/>
      <c r="H227" s="381"/>
      <c r="I227" s="381"/>
      <c r="J227" s="381"/>
      <c r="K227" s="381"/>
      <c r="L227" s="381"/>
      <c r="M227" s="381"/>
      <c r="N227" s="381"/>
      <c r="O227" s="381"/>
      <c r="P227" s="381"/>
    </row>
    <row r="228" spans="6:16" x14ac:dyDescent="0.2">
      <c r="F228" s="381"/>
      <c r="G228" s="382"/>
      <c r="H228" s="381"/>
      <c r="I228" s="381"/>
      <c r="J228" s="381"/>
      <c r="K228" s="381"/>
      <c r="L228" s="381"/>
      <c r="M228" s="381"/>
      <c r="N228" s="381"/>
      <c r="O228" s="381"/>
      <c r="P228" s="381"/>
    </row>
    <row r="229" spans="6:16" x14ac:dyDescent="0.2">
      <c r="F229" s="381"/>
      <c r="G229" s="382"/>
      <c r="H229" s="381"/>
      <c r="I229" s="381"/>
      <c r="J229" s="381"/>
      <c r="K229" s="381"/>
      <c r="L229" s="381"/>
      <c r="M229" s="381"/>
      <c r="N229" s="381"/>
      <c r="O229" s="381"/>
      <c r="P229" s="381"/>
    </row>
    <row r="230" spans="6:16" x14ac:dyDescent="0.2">
      <c r="F230" s="381"/>
      <c r="G230" s="382"/>
      <c r="H230" s="381"/>
      <c r="I230" s="381"/>
      <c r="J230" s="381"/>
      <c r="K230" s="381"/>
      <c r="L230" s="381"/>
      <c r="M230" s="381"/>
      <c r="N230" s="381"/>
      <c r="O230" s="381"/>
      <c r="P230" s="381"/>
    </row>
    <row r="231" spans="6:16" x14ac:dyDescent="0.2">
      <c r="F231" s="381"/>
      <c r="G231" s="382"/>
      <c r="H231" s="381"/>
      <c r="I231" s="381"/>
      <c r="J231" s="381"/>
      <c r="K231" s="381"/>
      <c r="L231" s="381"/>
      <c r="M231" s="381"/>
      <c r="N231" s="381"/>
      <c r="O231" s="381"/>
      <c r="P231" s="381"/>
    </row>
    <row r="232" spans="6:16" x14ac:dyDescent="0.2">
      <c r="F232" s="381"/>
      <c r="G232" s="382"/>
      <c r="H232" s="381"/>
      <c r="I232" s="381"/>
      <c r="J232" s="381"/>
      <c r="K232" s="381"/>
      <c r="L232" s="381"/>
      <c r="M232" s="381"/>
      <c r="N232" s="381"/>
      <c r="O232" s="381"/>
      <c r="P232" s="381"/>
    </row>
    <row r="233" spans="6:16" x14ac:dyDescent="0.2">
      <c r="F233" s="381"/>
      <c r="G233" s="382"/>
      <c r="H233" s="381"/>
      <c r="I233" s="381"/>
      <c r="J233" s="381"/>
      <c r="K233" s="381"/>
      <c r="L233" s="381"/>
      <c r="M233" s="381"/>
      <c r="N233" s="381"/>
      <c r="O233" s="381"/>
      <c r="P233" s="381"/>
    </row>
    <row r="234" spans="6:16" x14ac:dyDescent="0.2">
      <c r="F234" s="381"/>
      <c r="G234" s="382"/>
      <c r="H234" s="381"/>
      <c r="I234" s="381"/>
      <c r="J234" s="381"/>
      <c r="K234" s="381"/>
      <c r="L234" s="381"/>
      <c r="M234" s="381"/>
      <c r="N234" s="381"/>
      <c r="O234" s="381"/>
      <c r="P234" s="381"/>
    </row>
    <row r="235" spans="6:16" x14ac:dyDescent="0.2">
      <c r="F235" s="381"/>
      <c r="G235" s="382"/>
      <c r="H235" s="381"/>
      <c r="I235" s="381"/>
      <c r="J235" s="381"/>
      <c r="K235" s="381"/>
      <c r="L235" s="381"/>
      <c r="M235" s="381"/>
      <c r="N235" s="381"/>
      <c r="O235" s="381"/>
      <c r="P235" s="381"/>
    </row>
    <row r="236" spans="6:16" x14ac:dyDescent="0.2">
      <c r="F236" s="381"/>
      <c r="G236" s="382"/>
      <c r="H236" s="381"/>
      <c r="I236" s="381"/>
      <c r="J236" s="381"/>
      <c r="K236" s="381"/>
      <c r="L236" s="381"/>
      <c r="M236" s="381"/>
      <c r="N236" s="381"/>
      <c r="O236" s="381"/>
      <c r="P236" s="381"/>
    </row>
    <row r="237" spans="6:16" x14ac:dyDescent="0.2">
      <c r="F237" s="381"/>
      <c r="G237" s="382"/>
      <c r="H237" s="381"/>
      <c r="I237" s="381"/>
      <c r="J237" s="381"/>
      <c r="K237" s="381"/>
      <c r="L237" s="381"/>
      <c r="M237" s="381"/>
      <c r="N237" s="381"/>
      <c r="O237" s="381"/>
      <c r="P237" s="381"/>
    </row>
    <row r="238" spans="6:16" x14ac:dyDescent="0.2">
      <c r="F238" s="381"/>
      <c r="G238" s="382"/>
      <c r="H238" s="381"/>
      <c r="I238" s="381"/>
      <c r="J238" s="381"/>
      <c r="K238" s="381"/>
      <c r="L238" s="381"/>
      <c r="M238" s="381"/>
      <c r="N238" s="381"/>
      <c r="O238" s="381"/>
      <c r="P238" s="381"/>
    </row>
    <row r="239" spans="6:16" x14ac:dyDescent="0.2">
      <c r="F239" s="381"/>
      <c r="G239" s="382"/>
      <c r="H239" s="381"/>
      <c r="I239" s="381"/>
      <c r="J239" s="381"/>
      <c r="K239" s="381"/>
      <c r="L239" s="381"/>
      <c r="M239" s="381"/>
      <c r="N239" s="381"/>
      <c r="O239" s="381"/>
      <c r="P239" s="381"/>
    </row>
    <row r="240" spans="6:16" x14ac:dyDescent="0.2">
      <c r="F240" s="381"/>
      <c r="G240" s="382"/>
      <c r="H240" s="381"/>
      <c r="I240" s="381"/>
      <c r="J240" s="381"/>
      <c r="K240" s="381"/>
      <c r="L240" s="381"/>
      <c r="M240" s="381"/>
      <c r="N240" s="381"/>
      <c r="O240" s="381"/>
      <c r="P240" s="381"/>
    </row>
    <row r="241" spans="6:16" x14ac:dyDescent="0.2">
      <c r="F241" s="381"/>
      <c r="G241" s="382"/>
      <c r="H241" s="381"/>
      <c r="I241" s="381"/>
      <c r="J241" s="381"/>
      <c r="K241" s="381"/>
      <c r="L241" s="381"/>
      <c r="M241" s="381"/>
      <c r="N241" s="381"/>
      <c r="O241" s="381"/>
      <c r="P241" s="381"/>
    </row>
    <row r="242" spans="6:16" x14ac:dyDescent="0.2">
      <c r="F242" s="381"/>
      <c r="G242" s="382"/>
      <c r="H242" s="381"/>
      <c r="I242" s="381"/>
      <c r="J242" s="381"/>
      <c r="K242" s="381"/>
      <c r="L242" s="381"/>
      <c r="M242" s="381"/>
      <c r="N242" s="381"/>
      <c r="O242" s="381"/>
      <c r="P242" s="381"/>
    </row>
    <row r="243" spans="6:16" x14ac:dyDescent="0.2">
      <c r="F243" s="381"/>
      <c r="G243" s="382"/>
      <c r="H243" s="381"/>
      <c r="I243" s="381"/>
      <c r="J243" s="381"/>
      <c r="K243" s="381"/>
      <c r="L243" s="381"/>
      <c r="M243" s="381"/>
      <c r="N243" s="381"/>
      <c r="O243" s="381"/>
      <c r="P243" s="381"/>
    </row>
    <row r="244" spans="6:16" x14ac:dyDescent="0.2">
      <c r="F244" s="381"/>
      <c r="G244" s="382"/>
      <c r="H244" s="381"/>
      <c r="I244" s="381"/>
      <c r="J244" s="381"/>
      <c r="K244" s="381"/>
      <c r="L244" s="381"/>
      <c r="M244" s="381"/>
      <c r="N244" s="381"/>
      <c r="O244" s="381"/>
      <c r="P244" s="381"/>
    </row>
    <row r="245" spans="6:16" x14ac:dyDescent="0.2">
      <c r="F245" s="381"/>
      <c r="G245" s="382"/>
      <c r="H245" s="381"/>
      <c r="I245" s="381"/>
      <c r="J245" s="381"/>
      <c r="K245" s="381"/>
      <c r="L245" s="381"/>
      <c r="M245" s="381"/>
      <c r="N245" s="381"/>
      <c r="O245" s="381"/>
      <c r="P245" s="381"/>
    </row>
    <row r="246" spans="6:16" x14ac:dyDescent="0.2">
      <c r="F246" s="381"/>
      <c r="G246" s="382"/>
      <c r="H246" s="381"/>
      <c r="I246" s="381"/>
      <c r="J246" s="381"/>
      <c r="K246" s="381"/>
      <c r="L246" s="381"/>
      <c r="M246" s="381"/>
      <c r="N246" s="381"/>
      <c r="O246" s="381"/>
      <c r="P246" s="381"/>
    </row>
    <row r="247" spans="6:16" x14ac:dyDescent="0.2">
      <c r="F247" s="381"/>
      <c r="G247" s="382"/>
      <c r="H247" s="381"/>
      <c r="I247" s="381"/>
      <c r="J247" s="381"/>
      <c r="K247" s="381"/>
      <c r="L247" s="381"/>
      <c r="M247" s="381"/>
      <c r="N247" s="381"/>
      <c r="O247" s="381"/>
      <c r="P247" s="381"/>
    </row>
    <row r="248" spans="6:16" x14ac:dyDescent="0.2">
      <c r="F248" s="381"/>
      <c r="G248" s="382"/>
      <c r="H248" s="381"/>
      <c r="I248" s="381"/>
      <c r="J248" s="381"/>
      <c r="K248" s="381"/>
      <c r="L248" s="381"/>
      <c r="M248" s="381"/>
      <c r="N248" s="381"/>
      <c r="O248" s="381"/>
      <c r="P248" s="381"/>
    </row>
    <row r="249" spans="6:16" x14ac:dyDescent="0.2">
      <c r="F249" s="381"/>
      <c r="G249" s="382"/>
      <c r="H249" s="381"/>
      <c r="I249" s="381"/>
      <c r="J249" s="381"/>
      <c r="K249" s="381"/>
      <c r="L249" s="381"/>
      <c r="M249" s="381"/>
      <c r="N249" s="381"/>
      <c r="O249" s="381"/>
      <c r="P249" s="381"/>
    </row>
    <row r="250" spans="6:16" x14ac:dyDescent="0.2">
      <c r="F250" s="381"/>
      <c r="G250" s="382"/>
      <c r="H250" s="381"/>
      <c r="I250" s="381"/>
      <c r="J250" s="381"/>
      <c r="K250" s="381"/>
      <c r="L250" s="381"/>
      <c r="M250" s="381"/>
      <c r="N250" s="381"/>
      <c r="O250" s="381"/>
      <c r="P250" s="381"/>
    </row>
    <row r="251" spans="6:16" x14ac:dyDescent="0.2">
      <c r="F251" s="381"/>
      <c r="G251" s="382"/>
      <c r="H251" s="381"/>
      <c r="I251" s="381"/>
      <c r="J251" s="381"/>
      <c r="K251" s="381"/>
      <c r="L251" s="381"/>
      <c r="M251" s="381"/>
      <c r="N251" s="381"/>
      <c r="O251" s="381"/>
      <c r="P251" s="381"/>
    </row>
    <row r="252" spans="6:16" x14ac:dyDescent="0.2">
      <c r="F252" s="381"/>
      <c r="G252" s="382"/>
      <c r="H252" s="381"/>
      <c r="I252" s="381"/>
      <c r="J252" s="381"/>
      <c r="K252" s="381"/>
      <c r="L252" s="381"/>
      <c r="M252" s="381"/>
      <c r="N252" s="381"/>
      <c r="O252" s="381"/>
      <c r="P252" s="381"/>
    </row>
    <row r="253" spans="6:16" x14ac:dyDescent="0.2">
      <c r="F253" s="381"/>
      <c r="G253" s="382"/>
      <c r="H253" s="381"/>
      <c r="I253" s="381"/>
      <c r="J253" s="381"/>
      <c r="K253" s="381"/>
      <c r="L253" s="381"/>
      <c r="M253" s="381"/>
      <c r="N253" s="381"/>
      <c r="O253" s="381"/>
      <c r="P253" s="381"/>
    </row>
    <row r="254" spans="6:16" x14ac:dyDescent="0.2">
      <c r="F254" s="381"/>
      <c r="G254" s="382"/>
      <c r="H254" s="381"/>
      <c r="I254" s="381"/>
      <c r="J254" s="381"/>
      <c r="K254" s="381"/>
      <c r="L254" s="381"/>
      <c r="M254" s="381"/>
      <c r="N254" s="381"/>
      <c r="O254" s="381"/>
      <c r="P254" s="381"/>
    </row>
    <row r="255" spans="6:16" x14ac:dyDescent="0.2">
      <c r="F255" s="381"/>
      <c r="G255" s="382"/>
      <c r="H255" s="381"/>
      <c r="I255" s="381"/>
      <c r="J255" s="381"/>
      <c r="K255" s="381"/>
      <c r="L255" s="381"/>
      <c r="M255" s="381"/>
      <c r="N255" s="381"/>
      <c r="O255" s="381"/>
      <c r="P255" s="381"/>
    </row>
    <row r="256" spans="6:16" x14ac:dyDescent="0.2">
      <c r="F256" s="381"/>
      <c r="G256" s="382"/>
      <c r="H256" s="381"/>
      <c r="I256" s="381"/>
      <c r="J256" s="381"/>
      <c r="K256" s="381"/>
      <c r="L256" s="381"/>
      <c r="M256" s="381"/>
      <c r="N256" s="381"/>
      <c r="O256" s="381"/>
      <c r="P256" s="381"/>
    </row>
    <row r="257" spans="6:16" x14ac:dyDescent="0.2">
      <c r="F257" s="381"/>
      <c r="G257" s="382"/>
      <c r="H257" s="381"/>
      <c r="I257" s="381"/>
      <c r="J257" s="381"/>
      <c r="K257" s="381"/>
      <c r="L257" s="381"/>
      <c r="M257" s="381"/>
      <c r="N257" s="381"/>
      <c r="O257" s="381"/>
      <c r="P257" s="381"/>
    </row>
    <row r="258" spans="6:16" x14ac:dyDescent="0.2">
      <c r="F258" s="381"/>
      <c r="G258" s="382"/>
      <c r="H258" s="381"/>
      <c r="I258" s="381"/>
      <c r="J258" s="381"/>
      <c r="K258" s="381"/>
      <c r="L258" s="381"/>
      <c r="M258" s="381"/>
      <c r="N258" s="381"/>
      <c r="O258" s="381"/>
      <c r="P258" s="381"/>
    </row>
    <row r="259" spans="6:16" x14ac:dyDescent="0.2">
      <c r="F259" s="381"/>
      <c r="G259" s="382"/>
      <c r="H259" s="381"/>
      <c r="I259" s="381"/>
      <c r="J259" s="381"/>
      <c r="K259" s="381"/>
      <c r="L259" s="381"/>
      <c r="M259" s="381"/>
      <c r="N259" s="381"/>
      <c r="O259" s="381"/>
      <c r="P259" s="381"/>
    </row>
    <row r="260" spans="6:16" x14ac:dyDescent="0.2">
      <c r="F260" s="381"/>
      <c r="G260" s="382"/>
      <c r="H260" s="381"/>
      <c r="I260" s="381"/>
      <c r="J260" s="381"/>
      <c r="K260" s="381"/>
      <c r="L260" s="381"/>
      <c r="M260" s="381"/>
      <c r="N260" s="381"/>
      <c r="O260" s="381"/>
      <c r="P260" s="381"/>
    </row>
    <row r="261" spans="6:16" x14ac:dyDescent="0.2">
      <c r="F261" s="381"/>
      <c r="G261" s="382"/>
      <c r="H261" s="381"/>
      <c r="I261" s="381"/>
      <c r="J261" s="381"/>
      <c r="K261" s="381"/>
      <c r="L261" s="381"/>
      <c r="M261" s="381"/>
      <c r="N261" s="381"/>
      <c r="O261" s="381"/>
      <c r="P261" s="381"/>
    </row>
    <row r="262" spans="6:16" x14ac:dyDescent="0.2">
      <c r="F262" s="381"/>
      <c r="G262" s="382"/>
      <c r="H262" s="381"/>
      <c r="I262" s="381"/>
      <c r="J262" s="381"/>
      <c r="K262" s="381"/>
      <c r="L262" s="381"/>
      <c r="M262" s="381"/>
      <c r="N262" s="381"/>
      <c r="O262" s="381"/>
      <c r="P262" s="381"/>
    </row>
    <row r="263" spans="6:16" x14ac:dyDescent="0.2">
      <c r="F263" s="381"/>
      <c r="G263" s="382"/>
      <c r="H263" s="381"/>
      <c r="I263" s="381"/>
      <c r="J263" s="381"/>
      <c r="K263" s="381"/>
      <c r="L263" s="381"/>
      <c r="M263" s="381"/>
      <c r="N263" s="381"/>
      <c r="O263" s="381"/>
      <c r="P263" s="381"/>
    </row>
    <row r="264" spans="6:16" x14ac:dyDescent="0.2">
      <c r="F264" s="381"/>
      <c r="G264" s="382"/>
      <c r="H264" s="381"/>
      <c r="I264" s="381"/>
      <c r="J264" s="381"/>
      <c r="K264" s="381"/>
      <c r="L264" s="381"/>
      <c r="M264" s="381"/>
      <c r="N264" s="381"/>
      <c r="O264" s="381"/>
      <c r="P264" s="381"/>
    </row>
    <row r="265" spans="6:16" x14ac:dyDescent="0.2">
      <c r="F265" s="381"/>
      <c r="G265" s="382"/>
      <c r="H265" s="381"/>
      <c r="I265" s="381"/>
      <c r="J265" s="381"/>
      <c r="K265" s="381"/>
      <c r="L265" s="381"/>
      <c r="M265" s="381"/>
      <c r="N265" s="381"/>
      <c r="O265" s="381"/>
      <c r="P265" s="381"/>
    </row>
    <row r="266" spans="6:16" x14ac:dyDescent="0.2">
      <c r="F266" s="381"/>
      <c r="G266" s="382"/>
      <c r="H266" s="381"/>
      <c r="I266" s="381"/>
      <c r="J266" s="381"/>
      <c r="K266" s="381"/>
      <c r="L266" s="381"/>
      <c r="M266" s="381"/>
      <c r="N266" s="381"/>
      <c r="O266" s="381"/>
      <c r="P266" s="381"/>
    </row>
    <row r="267" spans="6:16" x14ac:dyDescent="0.2">
      <c r="F267" s="381"/>
      <c r="G267" s="382"/>
      <c r="H267" s="381"/>
      <c r="I267" s="381"/>
      <c r="J267" s="381"/>
      <c r="K267" s="381"/>
      <c r="L267" s="381"/>
      <c r="M267" s="381"/>
      <c r="N267" s="381"/>
      <c r="O267" s="381"/>
      <c r="P267" s="381"/>
    </row>
    <row r="268" spans="6:16" x14ac:dyDescent="0.2">
      <c r="F268" s="381"/>
      <c r="G268" s="382"/>
      <c r="H268" s="381"/>
      <c r="I268" s="381"/>
      <c r="J268" s="381"/>
      <c r="K268" s="381"/>
      <c r="L268" s="381"/>
      <c r="M268" s="381"/>
      <c r="N268" s="381"/>
      <c r="O268" s="381"/>
      <c r="P268" s="381"/>
    </row>
    <row r="269" spans="6:16" x14ac:dyDescent="0.2">
      <c r="F269" s="381"/>
      <c r="G269" s="382"/>
      <c r="H269" s="381"/>
      <c r="I269" s="381"/>
      <c r="J269" s="381"/>
      <c r="K269" s="381"/>
      <c r="L269" s="381"/>
      <c r="M269" s="381"/>
      <c r="N269" s="381"/>
      <c r="O269" s="381"/>
      <c r="P269" s="381"/>
    </row>
    <row r="270" spans="6:16" x14ac:dyDescent="0.2">
      <c r="F270" s="381"/>
      <c r="G270" s="382"/>
      <c r="H270" s="381"/>
      <c r="I270" s="381"/>
      <c r="J270" s="381"/>
      <c r="K270" s="381"/>
      <c r="L270" s="381"/>
      <c r="M270" s="381"/>
      <c r="N270" s="381"/>
      <c r="O270" s="381"/>
      <c r="P270" s="381"/>
    </row>
    <row r="271" spans="6:16" x14ac:dyDescent="0.2">
      <c r="F271" s="381"/>
      <c r="G271" s="382"/>
      <c r="H271" s="381"/>
      <c r="I271" s="381"/>
      <c r="J271" s="381"/>
      <c r="K271" s="381"/>
      <c r="L271" s="381"/>
      <c r="M271" s="381"/>
      <c r="N271" s="381"/>
      <c r="O271" s="381"/>
      <c r="P271" s="381"/>
    </row>
    <row r="272" spans="6:16" x14ac:dyDescent="0.2">
      <c r="F272" s="381"/>
      <c r="G272" s="382"/>
      <c r="H272" s="381"/>
      <c r="I272" s="381"/>
      <c r="J272" s="381"/>
      <c r="K272" s="381"/>
      <c r="L272" s="381"/>
      <c r="M272" s="381"/>
      <c r="N272" s="381"/>
      <c r="O272" s="381"/>
      <c r="P272" s="381"/>
    </row>
    <row r="273" spans="6:16" x14ac:dyDescent="0.2">
      <c r="F273" s="381"/>
      <c r="G273" s="382"/>
      <c r="H273" s="381"/>
      <c r="I273" s="381"/>
      <c r="J273" s="381"/>
      <c r="K273" s="381"/>
      <c r="L273" s="381"/>
      <c r="M273" s="381"/>
      <c r="N273" s="381"/>
      <c r="O273" s="381"/>
      <c r="P273" s="381"/>
    </row>
    <row r="274" spans="6:16" x14ac:dyDescent="0.2">
      <c r="F274" s="381"/>
      <c r="G274" s="382"/>
      <c r="H274" s="381"/>
      <c r="I274" s="381"/>
      <c r="J274" s="381"/>
      <c r="K274" s="381"/>
      <c r="L274" s="381"/>
      <c r="M274" s="381"/>
      <c r="N274" s="381"/>
      <c r="O274" s="381"/>
      <c r="P274" s="381"/>
    </row>
    <row r="275" spans="6:16" x14ac:dyDescent="0.2">
      <c r="F275" s="381"/>
      <c r="G275" s="382"/>
      <c r="H275" s="381"/>
      <c r="I275" s="381"/>
      <c r="J275" s="381"/>
      <c r="K275" s="381"/>
      <c r="L275" s="381"/>
      <c r="M275" s="381"/>
      <c r="N275" s="381"/>
      <c r="O275" s="381"/>
      <c r="P275" s="381"/>
    </row>
    <row r="276" spans="6:16" x14ac:dyDescent="0.2">
      <c r="F276" s="381"/>
      <c r="G276" s="382"/>
      <c r="H276" s="381"/>
      <c r="I276" s="381"/>
      <c r="J276" s="381"/>
      <c r="K276" s="381"/>
      <c r="L276" s="381"/>
      <c r="M276" s="381"/>
      <c r="N276" s="381"/>
      <c r="O276" s="381"/>
      <c r="P276" s="381"/>
    </row>
    <row r="277" spans="6:16" x14ac:dyDescent="0.2">
      <c r="F277" s="381"/>
      <c r="G277" s="382"/>
      <c r="H277" s="381"/>
      <c r="I277" s="381"/>
      <c r="J277" s="381"/>
      <c r="K277" s="381"/>
      <c r="L277" s="381"/>
      <c r="M277" s="381"/>
      <c r="N277" s="381"/>
      <c r="O277" s="381"/>
      <c r="P277" s="381"/>
    </row>
    <row r="278" spans="6:16" x14ac:dyDescent="0.2">
      <c r="F278" s="381"/>
      <c r="G278" s="382"/>
      <c r="H278" s="381"/>
      <c r="I278" s="381"/>
      <c r="J278" s="381"/>
      <c r="K278" s="381"/>
      <c r="L278" s="381"/>
      <c r="M278" s="381"/>
      <c r="N278" s="381"/>
      <c r="O278" s="381"/>
      <c r="P278" s="381"/>
    </row>
    <row r="279" spans="6:16" x14ac:dyDescent="0.2">
      <c r="F279" s="381"/>
      <c r="G279" s="382"/>
      <c r="H279" s="381"/>
      <c r="I279" s="381"/>
      <c r="J279" s="381"/>
      <c r="K279" s="381"/>
      <c r="L279" s="381"/>
      <c r="M279" s="381"/>
      <c r="N279" s="381"/>
      <c r="O279" s="381"/>
      <c r="P279" s="381"/>
    </row>
    <row r="280" spans="6:16" x14ac:dyDescent="0.2">
      <c r="F280" s="381"/>
      <c r="G280" s="382"/>
      <c r="H280" s="381"/>
      <c r="I280" s="381"/>
      <c r="J280" s="381"/>
      <c r="K280" s="381"/>
      <c r="L280" s="381"/>
      <c r="M280" s="381"/>
      <c r="N280" s="381"/>
      <c r="O280" s="381"/>
      <c r="P280" s="381"/>
    </row>
    <row r="281" spans="6:16" x14ac:dyDescent="0.2">
      <c r="F281" s="381"/>
      <c r="G281" s="382"/>
      <c r="H281" s="381"/>
      <c r="I281" s="381"/>
      <c r="J281" s="381"/>
      <c r="K281" s="381"/>
      <c r="L281" s="381"/>
      <c r="M281" s="381"/>
      <c r="N281" s="381"/>
      <c r="O281" s="381"/>
      <c r="P281" s="381"/>
    </row>
    <row r="282" spans="6:16" x14ac:dyDescent="0.2">
      <c r="F282" s="381"/>
      <c r="G282" s="382"/>
      <c r="H282" s="381"/>
      <c r="I282" s="381"/>
      <c r="J282" s="381"/>
      <c r="K282" s="381"/>
      <c r="L282" s="381"/>
      <c r="M282" s="381"/>
      <c r="N282" s="381"/>
      <c r="O282" s="381"/>
      <c r="P282" s="381"/>
    </row>
    <row r="283" spans="6:16" x14ac:dyDescent="0.2">
      <c r="F283" s="381"/>
      <c r="G283" s="382"/>
      <c r="H283" s="381"/>
      <c r="I283" s="381"/>
      <c r="J283" s="381"/>
      <c r="K283" s="381"/>
      <c r="L283" s="381"/>
      <c r="M283" s="381"/>
      <c r="N283" s="381"/>
      <c r="O283" s="381"/>
      <c r="P283" s="381"/>
    </row>
    <row r="284" spans="6:16" x14ac:dyDescent="0.2">
      <c r="F284" s="381"/>
      <c r="G284" s="382"/>
      <c r="H284" s="381"/>
      <c r="I284" s="381"/>
      <c r="J284" s="381"/>
      <c r="K284" s="381"/>
      <c r="L284" s="381"/>
      <c r="M284" s="381"/>
      <c r="N284" s="381"/>
      <c r="O284" s="381"/>
      <c r="P284" s="381"/>
    </row>
    <row r="285" spans="6:16" x14ac:dyDescent="0.2">
      <c r="F285" s="381"/>
      <c r="G285" s="382"/>
      <c r="H285" s="381"/>
      <c r="I285" s="381"/>
      <c r="J285" s="381"/>
      <c r="K285" s="381"/>
      <c r="L285" s="381"/>
      <c r="M285" s="381"/>
      <c r="N285" s="381"/>
      <c r="O285" s="381"/>
      <c r="P285" s="381"/>
    </row>
    <row r="286" spans="6:16" x14ac:dyDescent="0.2">
      <c r="F286" s="381"/>
      <c r="G286" s="382"/>
      <c r="H286" s="381"/>
      <c r="I286" s="381"/>
      <c r="J286" s="381"/>
      <c r="K286" s="381"/>
      <c r="L286" s="381"/>
      <c r="M286" s="381"/>
      <c r="N286" s="381"/>
      <c r="O286" s="381"/>
      <c r="P286" s="381"/>
    </row>
    <row r="287" spans="6:16" x14ac:dyDescent="0.2">
      <c r="F287" s="381"/>
      <c r="G287" s="382"/>
      <c r="H287" s="381"/>
      <c r="I287" s="381"/>
      <c r="J287" s="381"/>
      <c r="K287" s="381"/>
      <c r="L287" s="381"/>
      <c r="M287" s="381"/>
      <c r="N287" s="381"/>
      <c r="O287" s="381"/>
      <c r="P287" s="381"/>
    </row>
    <row r="288" spans="6:16" x14ac:dyDescent="0.2">
      <c r="F288" s="381"/>
      <c r="G288" s="382"/>
      <c r="H288" s="381"/>
      <c r="I288" s="381"/>
      <c r="J288" s="381"/>
      <c r="K288" s="381"/>
      <c r="L288" s="381"/>
      <c r="M288" s="381"/>
      <c r="N288" s="381"/>
      <c r="O288" s="381"/>
      <c r="P288" s="381"/>
    </row>
    <row r="289" spans="6:16" x14ac:dyDescent="0.2">
      <c r="F289" s="381"/>
      <c r="G289" s="382"/>
      <c r="H289" s="381"/>
      <c r="I289" s="381"/>
      <c r="J289" s="381"/>
      <c r="K289" s="381"/>
      <c r="L289" s="381"/>
      <c r="M289" s="381"/>
      <c r="N289" s="381"/>
      <c r="O289" s="381"/>
      <c r="P289" s="381"/>
    </row>
    <row r="290" spans="6:16" x14ac:dyDescent="0.2">
      <c r="F290" s="381"/>
      <c r="G290" s="382"/>
      <c r="H290" s="381"/>
      <c r="I290" s="381"/>
      <c r="J290" s="381"/>
      <c r="K290" s="381"/>
      <c r="L290" s="381"/>
      <c r="M290" s="381"/>
      <c r="N290" s="381"/>
      <c r="O290" s="381"/>
      <c r="P290" s="381"/>
    </row>
    <row r="291" spans="6:16" x14ac:dyDescent="0.2">
      <c r="F291" s="381"/>
      <c r="G291" s="382"/>
      <c r="H291" s="381"/>
      <c r="I291" s="381"/>
      <c r="J291" s="381"/>
      <c r="K291" s="381"/>
      <c r="L291" s="381"/>
      <c r="M291" s="381"/>
      <c r="N291" s="381"/>
      <c r="O291" s="381"/>
      <c r="P291" s="381"/>
    </row>
    <row r="292" spans="6:16" x14ac:dyDescent="0.2">
      <c r="F292" s="381"/>
      <c r="G292" s="382"/>
      <c r="H292" s="381"/>
      <c r="I292" s="381"/>
      <c r="J292" s="381"/>
      <c r="K292" s="381"/>
      <c r="L292" s="381"/>
      <c r="M292" s="381"/>
      <c r="N292" s="381"/>
      <c r="O292" s="381"/>
      <c r="P292" s="381"/>
    </row>
    <row r="293" spans="6:16" x14ac:dyDescent="0.2">
      <c r="F293" s="381"/>
      <c r="G293" s="382"/>
      <c r="H293" s="381"/>
      <c r="I293" s="381"/>
      <c r="J293" s="381"/>
      <c r="K293" s="381"/>
      <c r="L293" s="381"/>
      <c r="M293" s="381"/>
      <c r="N293" s="381"/>
      <c r="O293" s="381"/>
      <c r="P293" s="381"/>
    </row>
    <row r="294" spans="6:16" x14ac:dyDescent="0.2">
      <c r="F294" s="381"/>
      <c r="G294" s="382"/>
      <c r="H294" s="381"/>
      <c r="I294" s="381"/>
      <c r="J294" s="381"/>
      <c r="K294" s="381"/>
      <c r="L294" s="381"/>
      <c r="M294" s="381"/>
      <c r="N294" s="381"/>
      <c r="O294" s="381"/>
      <c r="P294" s="381"/>
    </row>
    <row r="295" spans="6:16" x14ac:dyDescent="0.2">
      <c r="F295" s="381"/>
      <c r="G295" s="382"/>
      <c r="H295" s="381"/>
      <c r="I295" s="381"/>
      <c r="J295" s="381"/>
      <c r="K295" s="381"/>
      <c r="L295" s="381"/>
      <c r="M295" s="381"/>
      <c r="N295" s="381"/>
      <c r="O295" s="381"/>
      <c r="P295" s="381"/>
    </row>
    <row r="296" spans="6:16" x14ac:dyDescent="0.2">
      <c r="F296" s="381"/>
      <c r="G296" s="382"/>
      <c r="H296" s="381"/>
      <c r="I296" s="381"/>
      <c r="J296" s="381"/>
      <c r="K296" s="381"/>
      <c r="L296" s="381"/>
      <c r="M296" s="381"/>
      <c r="N296" s="381"/>
      <c r="O296" s="381"/>
      <c r="P296" s="381"/>
    </row>
    <row r="297" spans="6:16" x14ac:dyDescent="0.2">
      <c r="F297" s="381"/>
      <c r="G297" s="382"/>
      <c r="H297" s="381"/>
      <c r="I297" s="381"/>
      <c r="J297" s="381"/>
      <c r="K297" s="381"/>
      <c r="L297" s="381"/>
      <c r="M297" s="381"/>
      <c r="N297" s="381"/>
      <c r="O297" s="381"/>
      <c r="P297" s="381"/>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85725</xdr:colOff>
                    <xdr:row>8</xdr:row>
                    <xdr:rowOff>0</xdr:rowOff>
                  </from>
                  <to>
                    <xdr:col>18</xdr:col>
                    <xdr:colOff>438150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25" zoomScaleNormal="100" workbookViewId="0">
      <selection activeCell="D37" sqref="D37"/>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3" t="s">
        <v>242</v>
      </c>
      <c r="C1" s="1"/>
      <c r="D1" s="1"/>
      <c r="F1" s="1"/>
    </row>
    <row r="2" spans="1:27" ht="5.25" customHeight="1" x14ac:dyDescent="0.25">
      <c r="B2" s="53"/>
      <c r="C2" s="1"/>
      <c r="D2" s="344"/>
      <c r="F2" s="1"/>
    </row>
    <row r="3" spans="1:27" x14ac:dyDescent="0.2">
      <c r="B3" s="1" t="s">
        <v>227</v>
      </c>
      <c r="D3" s="613" t="s">
        <v>228</v>
      </c>
      <c r="E3" s="1222">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680"/>
      <c r="I6" s="562"/>
      <c r="J6" s="1521" t="s">
        <v>76</v>
      </c>
      <c r="K6" s="1522"/>
      <c r="L6" s="1523" t="s">
        <v>83</v>
      </c>
      <c r="M6" s="1524"/>
      <c r="N6" s="1523" t="s">
        <v>109</v>
      </c>
      <c r="O6" s="1524"/>
      <c r="P6"/>
      <c r="R6" s="3"/>
    </row>
    <row r="7" spans="1:27" ht="27" customHeight="1" thickBot="1" x14ac:dyDescent="0.3">
      <c r="B7" s="41"/>
      <c r="C7" s="566" t="s">
        <v>75</v>
      </c>
      <c r="D7" s="564"/>
      <c r="E7" s="565"/>
      <c r="F7" s="42" t="s">
        <v>211</v>
      </c>
      <c r="G7" s="42" t="s">
        <v>210</v>
      </c>
      <c r="H7" s="681" t="s">
        <v>264</v>
      </c>
      <c r="I7" s="563" t="s">
        <v>81</v>
      </c>
      <c r="J7" s="453" t="s">
        <v>280</v>
      </c>
      <c r="K7" s="454" t="s">
        <v>281</v>
      </c>
      <c r="L7" s="43" t="s">
        <v>113</v>
      </c>
      <c r="M7" s="44" t="s">
        <v>84</v>
      </c>
      <c r="N7" s="45" t="s">
        <v>95</v>
      </c>
      <c r="O7" s="46" t="s">
        <v>112</v>
      </c>
      <c r="P7"/>
    </row>
    <row r="8" spans="1:27" ht="13.5" thickTop="1" x14ac:dyDescent="0.2">
      <c r="B8" s="89" t="s">
        <v>69</v>
      </c>
      <c r="C8" s="1223" t="s">
        <v>183</v>
      </c>
      <c r="D8" s="1224"/>
      <c r="E8" s="1225"/>
      <c r="F8" s="1226" t="s">
        <v>5</v>
      </c>
      <c r="G8" s="1226" t="s">
        <v>229</v>
      </c>
      <c r="H8" s="740" t="b">
        <f>IF(AND(F8="Electricity",G8="N/A"),TRUE,FALSE)</f>
        <v>0</v>
      </c>
      <c r="I8" s="92"/>
      <c r="J8" s="93"/>
      <c r="K8" s="94"/>
      <c r="L8" s="95"/>
      <c r="M8" s="96"/>
      <c r="N8" s="1323">
        <v>0</v>
      </c>
      <c r="O8" s="1324">
        <v>350</v>
      </c>
    </row>
    <row r="9" spans="1:27" x14ac:dyDescent="0.2">
      <c r="B9" s="90" t="s">
        <v>65</v>
      </c>
      <c r="C9" s="1227" t="s">
        <v>325</v>
      </c>
      <c r="D9" s="1228"/>
      <c r="E9" s="1229"/>
      <c r="F9" s="1230" t="s">
        <v>5</v>
      </c>
      <c r="G9" s="1230" t="s">
        <v>229</v>
      </c>
      <c r="H9" s="741" t="b">
        <f t="shared" ref="H9:H13" si="0">IF(AND(F9="Electricity",G9="N/A"),TRUE,FALSE)</f>
        <v>0</v>
      </c>
      <c r="I9" s="1238">
        <v>2025</v>
      </c>
      <c r="J9" s="1314">
        <v>0</v>
      </c>
      <c r="K9" s="1240">
        <v>0.5</v>
      </c>
      <c r="L9" s="1241">
        <v>5</v>
      </c>
      <c r="M9" s="1242">
        <v>5</v>
      </c>
      <c r="N9" s="1315">
        <v>0</v>
      </c>
      <c r="O9" s="1316">
        <v>350</v>
      </c>
    </row>
    <row r="10" spans="1:27" x14ac:dyDescent="0.2">
      <c r="B10" s="90" t="s">
        <v>66</v>
      </c>
      <c r="C10" s="1227" t="s">
        <v>319</v>
      </c>
      <c r="D10" s="1228"/>
      <c r="E10" s="1229"/>
      <c r="F10" s="1230" t="s">
        <v>5</v>
      </c>
      <c r="G10" s="1230" t="s">
        <v>229</v>
      </c>
      <c r="H10" s="741" t="b">
        <f t="shared" si="0"/>
        <v>0</v>
      </c>
      <c r="I10" s="1238">
        <v>2025</v>
      </c>
      <c r="J10" s="1314">
        <v>0</v>
      </c>
      <c r="K10" s="1240">
        <v>0.5</v>
      </c>
      <c r="L10" s="1241">
        <v>5</v>
      </c>
      <c r="M10" s="1242">
        <v>5</v>
      </c>
      <c r="N10" s="1315">
        <v>0</v>
      </c>
      <c r="O10" s="1316">
        <v>350</v>
      </c>
    </row>
    <row r="11" spans="1:27" x14ac:dyDescent="0.2">
      <c r="B11" s="390" t="s">
        <v>67</v>
      </c>
      <c r="C11" s="1227" t="s">
        <v>321</v>
      </c>
      <c r="D11" s="1231"/>
      <c r="E11" s="1232"/>
      <c r="F11" s="1233" t="s">
        <v>6</v>
      </c>
      <c r="G11" s="1233" t="s">
        <v>229</v>
      </c>
      <c r="H11" s="742" t="b">
        <f t="shared" si="0"/>
        <v>1</v>
      </c>
      <c r="I11" s="1238">
        <v>2025</v>
      </c>
      <c r="J11" s="1317">
        <v>0</v>
      </c>
      <c r="K11" s="1245">
        <v>0.5</v>
      </c>
      <c r="L11" s="1246">
        <v>5</v>
      </c>
      <c r="M11" s="1247">
        <v>5</v>
      </c>
      <c r="N11" s="1318">
        <v>0</v>
      </c>
      <c r="O11" s="1319">
        <v>350</v>
      </c>
    </row>
    <row r="12" spans="1:27" x14ac:dyDescent="0.2">
      <c r="B12" s="390" t="s">
        <v>205</v>
      </c>
      <c r="C12" s="1227" t="s">
        <v>441</v>
      </c>
      <c r="D12" s="1231"/>
      <c r="E12" s="1232"/>
      <c r="F12" s="1233" t="s">
        <v>207</v>
      </c>
      <c r="G12" s="1233" t="s">
        <v>229</v>
      </c>
      <c r="H12" s="742" t="b">
        <f t="shared" si="0"/>
        <v>0</v>
      </c>
      <c r="I12" s="1238">
        <v>2025</v>
      </c>
      <c r="J12" s="1317">
        <v>0</v>
      </c>
      <c r="K12" s="1245">
        <v>0.5</v>
      </c>
      <c r="L12" s="1246">
        <v>5</v>
      </c>
      <c r="M12" s="1247">
        <v>5</v>
      </c>
      <c r="N12" s="1318">
        <v>0</v>
      </c>
      <c r="O12" s="1319">
        <v>350</v>
      </c>
    </row>
    <row r="13" spans="1:27" ht="13.5" thickBot="1" x14ac:dyDescent="0.25">
      <c r="B13" s="91" t="s">
        <v>206</v>
      </c>
      <c r="C13" s="1234" t="s">
        <v>320</v>
      </c>
      <c r="D13" s="1235"/>
      <c r="E13" s="1236"/>
      <c r="F13" s="1237" t="s">
        <v>5</v>
      </c>
      <c r="G13" s="1237" t="s">
        <v>6</v>
      </c>
      <c r="H13" s="743" t="b">
        <f t="shared" si="0"/>
        <v>0</v>
      </c>
      <c r="I13" s="1250">
        <v>2025</v>
      </c>
      <c r="J13" s="1320">
        <v>0</v>
      </c>
      <c r="K13" s="1252">
        <v>0.5</v>
      </c>
      <c r="L13" s="1253">
        <v>5</v>
      </c>
      <c r="M13" s="1254">
        <v>5</v>
      </c>
      <c r="N13" s="1321">
        <v>0</v>
      </c>
      <c r="O13" s="1322">
        <v>350</v>
      </c>
    </row>
    <row r="14" spans="1:27" ht="15.75" x14ac:dyDescent="0.25">
      <c r="B14" s="12"/>
      <c r="C14" s="343" t="s">
        <v>265</v>
      </c>
      <c r="D14" s="1"/>
      <c r="F14" s="1"/>
    </row>
    <row r="15" spans="1:27" ht="15.75" thickBot="1" x14ac:dyDescent="0.25">
      <c r="B15" s="47" t="s">
        <v>119</v>
      </c>
      <c r="C15" s="4"/>
      <c r="D15" s="4"/>
      <c r="G15" s="5"/>
      <c r="H15" s="6"/>
      <c r="I15" s="1525"/>
      <c r="J15" s="1525"/>
      <c r="K15" s="6"/>
      <c r="L15" s="6"/>
      <c r="M15" s="6"/>
      <c r="N15" s="6"/>
      <c r="O15" s="6"/>
      <c r="P15" s="6"/>
    </row>
    <row r="16" spans="1:27" s="104" customFormat="1" ht="13.5" thickBot="1" x14ac:dyDescent="0.25">
      <c r="A16" s="3"/>
      <c r="B16" s="103"/>
      <c r="C16" s="4"/>
      <c r="E16" s="2"/>
      <c r="F16" s="3"/>
      <c r="G16" s="5"/>
      <c r="H16" s="6"/>
      <c r="I16" s="11"/>
      <c r="J16" s="11"/>
      <c r="K16" s="6"/>
      <c r="L16" s="6"/>
      <c r="M16" s="6"/>
      <c r="N16" s="6"/>
      <c r="O16" s="6"/>
      <c r="P16" s="6"/>
      <c r="T16" s="616" t="s">
        <v>230</v>
      </c>
      <c r="U16" s="343" t="s">
        <v>231</v>
      </c>
      <c r="Z16" s="748"/>
      <c r="AA16" s="343" t="s">
        <v>262</v>
      </c>
    </row>
    <row r="17" spans="1:31" s="104" customFormat="1" x14ac:dyDescent="0.2">
      <c r="A17" s="3"/>
      <c r="B17" s="103"/>
      <c r="C17" s="105"/>
      <c r="E17" s="2"/>
      <c r="F17" s="3"/>
      <c r="G17" s="5"/>
      <c r="H17" s="6"/>
      <c r="I17" s="11"/>
      <c r="J17" s="11"/>
      <c r="K17" s="6"/>
      <c r="L17" s="6"/>
      <c r="M17" s="6"/>
      <c r="N17" s="6"/>
      <c r="O17" s="6"/>
      <c r="P17" s="6"/>
      <c r="U17" s="343" t="s">
        <v>232</v>
      </c>
      <c r="AA17" s="343" t="s">
        <v>263</v>
      </c>
    </row>
    <row r="18" spans="1:31" s="104" customFormat="1" ht="13.5" thickBot="1" x14ac:dyDescent="0.25">
      <c r="A18" s="3"/>
      <c r="B18" s="102"/>
      <c r="C18" s="101"/>
      <c r="E18" s="2"/>
      <c r="F18" s="101"/>
      <c r="G18" s="5"/>
      <c r="H18" s="6"/>
      <c r="I18" s="11"/>
      <c r="J18" s="11"/>
      <c r="K18" s="6"/>
      <c r="L18" s="6"/>
      <c r="M18" s="6"/>
      <c r="N18" s="6"/>
      <c r="O18" s="6"/>
      <c r="P18" s="6"/>
    </row>
    <row r="19" spans="1:31" s="104" customFormat="1" ht="16.5" thickBot="1" x14ac:dyDescent="0.3">
      <c r="A19" s="3"/>
      <c r="B19" s="595"/>
      <c r="C19" s="1514" t="s">
        <v>221</v>
      </c>
      <c r="D19" s="1515"/>
      <c r="E19" s="1515"/>
      <c r="F19" s="1515"/>
      <c r="G19" s="1515"/>
      <c r="H19" s="1515"/>
      <c r="I19" s="1515" t="s">
        <v>222</v>
      </c>
      <c r="J19" s="1515"/>
      <c r="K19" s="1515"/>
      <c r="L19" s="1515"/>
      <c r="M19" s="1516"/>
      <c r="N19" s="1517" t="s">
        <v>223</v>
      </c>
      <c r="O19" s="1518"/>
      <c r="P19" s="1518"/>
      <c r="Q19" s="1518"/>
      <c r="R19" s="1518"/>
      <c r="S19" s="1519"/>
      <c r="T19" s="1517" t="s">
        <v>224</v>
      </c>
      <c r="U19" s="1518"/>
      <c r="V19" s="1518"/>
      <c r="W19" s="1518"/>
      <c r="X19" s="1518"/>
      <c r="Y19" s="1519"/>
      <c r="Z19" s="1517" t="s">
        <v>226</v>
      </c>
      <c r="AA19" s="1518"/>
      <c r="AB19" s="1518"/>
      <c r="AC19" s="1518"/>
      <c r="AD19" s="1518"/>
      <c r="AE19" s="1519"/>
    </row>
    <row r="20" spans="1:31" s="104" customFormat="1" ht="13.5" thickBot="1" x14ac:dyDescent="0.25">
      <c r="A20" s="3"/>
      <c r="B20" s="607" t="s">
        <v>225</v>
      </c>
      <c r="C20" s="610" t="s">
        <v>69</v>
      </c>
      <c r="D20" s="596" t="s">
        <v>65</v>
      </c>
      <c r="E20" s="597" t="s">
        <v>66</v>
      </c>
      <c r="F20" s="596" t="s">
        <v>67</v>
      </c>
      <c r="G20" s="597" t="s">
        <v>205</v>
      </c>
      <c r="H20" s="596" t="s">
        <v>206</v>
      </c>
      <c r="I20" s="596" t="s">
        <v>65</v>
      </c>
      <c r="J20" s="597" t="s">
        <v>66</v>
      </c>
      <c r="K20" s="596" t="s">
        <v>67</v>
      </c>
      <c r="L20" s="597" t="s">
        <v>205</v>
      </c>
      <c r="M20" s="611" t="s">
        <v>206</v>
      </c>
      <c r="N20" s="612" t="s">
        <v>69</v>
      </c>
      <c r="O20" s="598" t="s">
        <v>65</v>
      </c>
      <c r="P20" s="599" t="s">
        <v>66</v>
      </c>
      <c r="Q20" s="598" t="s">
        <v>67</v>
      </c>
      <c r="R20" s="599" t="s">
        <v>205</v>
      </c>
      <c r="S20" s="598" t="s">
        <v>206</v>
      </c>
      <c r="T20" s="598" t="s">
        <v>69</v>
      </c>
      <c r="U20" s="598" t="s">
        <v>65</v>
      </c>
      <c r="V20" s="599" t="s">
        <v>66</v>
      </c>
      <c r="W20" s="598" t="s">
        <v>67</v>
      </c>
      <c r="X20" s="599" t="s">
        <v>205</v>
      </c>
      <c r="Y20" s="600" t="s">
        <v>206</v>
      </c>
      <c r="Z20" s="598" t="s">
        <v>69</v>
      </c>
      <c r="AA20" s="598" t="s">
        <v>65</v>
      </c>
      <c r="AB20" s="599" t="s">
        <v>66</v>
      </c>
      <c r="AC20" s="598" t="s">
        <v>67</v>
      </c>
      <c r="AD20" s="599" t="s">
        <v>205</v>
      </c>
      <c r="AE20" s="600" t="s">
        <v>206</v>
      </c>
    </row>
    <row r="21" spans="1:31" s="104" customFormat="1" ht="13.5" thickBot="1" x14ac:dyDescent="0.25">
      <c r="A21" s="3"/>
      <c r="B21" s="608" t="s">
        <v>3</v>
      </c>
      <c r="C21" s="609"/>
      <c r="D21" s="1333" t="str">
        <f>INDEX($C$9:$C$13,MATCH(D20,$B$9:$B$13,0))</f>
        <v>Adv Conv</v>
      </c>
      <c r="E21" s="1333" t="str">
        <f t="shared" ref="E21:H21" si="1">INDEX($C$9:$C$13,MATCH(E20,$B$9:$B$13,0))</f>
        <v>HEV</v>
      </c>
      <c r="F21" s="1333" t="str">
        <f t="shared" si="1"/>
        <v>BEV</v>
      </c>
      <c r="G21" s="1333" t="str">
        <f t="shared" si="1"/>
        <v>FCEV</v>
      </c>
      <c r="H21" s="1334" t="str">
        <f t="shared" si="1"/>
        <v>PHEV</v>
      </c>
      <c r="I21" s="1274">
        <v>0</v>
      </c>
      <c r="J21" s="1275">
        <v>0</v>
      </c>
      <c r="K21" s="1275">
        <v>0</v>
      </c>
      <c r="L21" s="1275">
        <v>0</v>
      </c>
      <c r="M21" s="1276">
        <v>0</v>
      </c>
      <c r="N21" s="601"/>
      <c r="O21" s="1333" t="str">
        <f>INDEX($C$9:$C$13,MATCH(O20,$B$9:$B$13,0))</f>
        <v>Adv Conv</v>
      </c>
      <c r="P21" s="1333" t="str">
        <f t="shared" ref="P21:S21" si="2">INDEX($C$9:$C$13,MATCH(P20,$B$9:$B$13,0))</f>
        <v>HEV</v>
      </c>
      <c r="Q21" s="1333" t="str">
        <f t="shared" si="2"/>
        <v>BEV</v>
      </c>
      <c r="R21" s="1333" t="str">
        <f t="shared" si="2"/>
        <v>FCEV</v>
      </c>
      <c r="S21" s="1334" t="str">
        <f t="shared" si="2"/>
        <v>PHEV</v>
      </c>
      <c r="T21" s="602"/>
      <c r="U21" s="1333" t="str">
        <f>INDEX($C$9:$C$13,MATCH(U20,$B$9:$B$13,0))</f>
        <v>Adv Conv</v>
      </c>
      <c r="V21" s="1333" t="str">
        <f t="shared" ref="V21:Y21" si="3">INDEX($C$9:$C$13,MATCH(V20,$B$9:$B$13,0))</f>
        <v>HEV</v>
      </c>
      <c r="W21" s="1333" t="str">
        <f t="shared" si="3"/>
        <v>BEV</v>
      </c>
      <c r="X21" s="1333" t="str">
        <f t="shared" si="3"/>
        <v>FCEV</v>
      </c>
      <c r="Y21" s="1334" t="str">
        <f t="shared" si="3"/>
        <v>PHEV</v>
      </c>
      <c r="Z21" s="601"/>
      <c r="AA21" s="1333" t="str">
        <f>INDEX($C$9:$C$13,MATCH(AA20,$B$9:$B$13,0))</f>
        <v>Adv Conv</v>
      </c>
      <c r="AB21" s="1333" t="str">
        <f t="shared" ref="AB21:AE21" si="4">INDEX($C$9:$C$13,MATCH(AB20,$B$9:$B$13,0))</f>
        <v>HEV</v>
      </c>
      <c r="AC21" s="1333" t="str">
        <f t="shared" si="4"/>
        <v>BEV</v>
      </c>
      <c r="AD21" s="1333" t="str">
        <f t="shared" si="4"/>
        <v>FCEV</v>
      </c>
      <c r="AE21" s="1334" t="str">
        <f t="shared" si="4"/>
        <v>PHEV</v>
      </c>
    </row>
    <row r="22" spans="1:31" s="104" customFormat="1" x14ac:dyDescent="0.2">
      <c r="A22" s="3"/>
      <c r="B22" s="374">
        <v>2007</v>
      </c>
      <c r="C22" s="1259">
        <v>138005</v>
      </c>
      <c r="D22" s="1260">
        <v>1000000</v>
      </c>
      <c r="E22" s="1260">
        <v>1000000</v>
      </c>
      <c r="F22" s="1260">
        <v>1000000</v>
      </c>
      <c r="G22" s="1260">
        <v>1000000</v>
      </c>
      <c r="H22" s="1261">
        <v>1000000</v>
      </c>
      <c r="I22" s="1200">
        <f>D22*I$21</f>
        <v>0</v>
      </c>
      <c r="J22" s="375">
        <f t="shared" ref="J22:M37" si="5">E22*J$21</f>
        <v>0</v>
      </c>
      <c r="K22" s="375">
        <f t="shared" si="5"/>
        <v>0</v>
      </c>
      <c r="L22" s="375">
        <f t="shared" si="5"/>
        <v>0</v>
      </c>
      <c r="M22" s="1205">
        <f t="shared" si="5"/>
        <v>0</v>
      </c>
      <c r="N22" s="1326">
        <v>5.9278738513698928</v>
      </c>
      <c r="O22" s="1278">
        <v>1</v>
      </c>
      <c r="P22" s="1278">
        <v>1</v>
      </c>
      <c r="Q22" s="1278">
        <v>1</v>
      </c>
      <c r="R22" s="1278">
        <v>1</v>
      </c>
      <c r="S22" s="1279">
        <v>1</v>
      </c>
      <c r="T22" s="1280">
        <v>1</v>
      </c>
      <c r="U22" s="1281">
        <v>1</v>
      </c>
      <c r="V22" s="1281">
        <v>1</v>
      </c>
      <c r="W22" s="1281">
        <v>1</v>
      </c>
      <c r="X22" s="1281">
        <v>1</v>
      </c>
      <c r="Y22" s="1282">
        <v>1</v>
      </c>
      <c r="Z22" s="1280">
        <v>0</v>
      </c>
      <c r="AA22" s="1281">
        <v>0</v>
      </c>
      <c r="AB22" s="1281">
        <v>0</v>
      </c>
      <c r="AC22" s="1281">
        <v>0</v>
      </c>
      <c r="AD22" s="1281">
        <v>0</v>
      </c>
      <c r="AE22" s="1282">
        <v>0</v>
      </c>
    </row>
    <row r="23" spans="1:31" s="104" customFormat="1" x14ac:dyDescent="0.2">
      <c r="A23" s="3"/>
      <c r="B23" s="370">
        <v>2008</v>
      </c>
      <c r="C23" s="1262">
        <v>138005</v>
      </c>
      <c r="D23" s="1263">
        <v>1000000</v>
      </c>
      <c r="E23" s="1263">
        <v>1000000</v>
      </c>
      <c r="F23" s="1263">
        <v>1000000</v>
      </c>
      <c r="G23" s="1263">
        <v>1000000</v>
      </c>
      <c r="H23" s="1264">
        <v>1000000</v>
      </c>
      <c r="I23" s="1201">
        <f t="shared" ref="I23:M65" si="6">D23*I$21</f>
        <v>0</v>
      </c>
      <c r="J23" s="371">
        <f t="shared" si="5"/>
        <v>0</v>
      </c>
      <c r="K23" s="371">
        <f t="shared" si="5"/>
        <v>0</v>
      </c>
      <c r="L23" s="371">
        <f t="shared" si="5"/>
        <v>0</v>
      </c>
      <c r="M23" s="1206">
        <f t="shared" si="5"/>
        <v>0</v>
      </c>
      <c r="N23" s="1327">
        <v>5.9278738513698928</v>
      </c>
      <c r="O23" s="1284">
        <v>1</v>
      </c>
      <c r="P23" s="1284">
        <v>1</v>
      </c>
      <c r="Q23" s="1284">
        <v>1</v>
      </c>
      <c r="R23" s="1284">
        <v>1</v>
      </c>
      <c r="S23" s="1285">
        <v>1</v>
      </c>
      <c r="T23" s="1286">
        <v>1</v>
      </c>
      <c r="U23" s="1287">
        <v>1</v>
      </c>
      <c r="V23" s="1287">
        <v>1</v>
      </c>
      <c r="W23" s="1287">
        <v>1</v>
      </c>
      <c r="X23" s="1287">
        <v>1</v>
      </c>
      <c r="Y23" s="1288">
        <v>1</v>
      </c>
      <c r="Z23" s="1286">
        <v>0</v>
      </c>
      <c r="AA23" s="1287">
        <v>0</v>
      </c>
      <c r="AB23" s="1287">
        <v>0</v>
      </c>
      <c r="AC23" s="1287">
        <v>0</v>
      </c>
      <c r="AD23" s="1287">
        <v>0</v>
      </c>
      <c r="AE23" s="1288">
        <v>0</v>
      </c>
    </row>
    <row r="24" spans="1:31" s="104" customFormat="1" x14ac:dyDescent="0.2">
      <c r="A24" s="3"/>
      <c r="B24" s="370">
        <v>2009</v>
      </c>
      <c r="C24" s="1262">
        <v>138005</v>
      </c>
      <c r="D24" s="1263">
        <v>1000000</v>
      </c>
      <c r="E24" s="1263">
        <v>1000000</v>
      </c>
      <c r="F24" s="1263">
        <v>1000000</v>
      </c>
      <c r="G24" s="1263">
        <v>1000000</v>
      </c>
      <c r="H24" s="1264">
        <v>1000000</v>
      </c>
      <c r="I24" s="1201">
        <f t="shared" si="6"/>
        <v>0</v>
      </c>
      <c r="J24" s="371">
        <f t="shared" si="5"/>
        <v>0</v>
      </c>
      <c r="K24" s="371">
        <f t="shared" si="5"/>
        <v>0</v>
      </c>
      <c r="L24" s="371">
        <f t="shared" si="5"/>
        <v>0</v>
      </c>
      <c r="M24" s="1206">
        <f t="shared" si="5"/>
        <v>0</v>
      </c>
      <c r="N24" s="1327">
        <v>5.9278738513698928</v>
      </c>
      <c r="O24" s="1284">
        <v>1</v>
      </c>
      <c r="P24" s="1284">
        <v>1</v>
      </c>
      <c r="Q24" s="1284">
        <v>1</v>
      </c>
      <c r="R24" s="1284">
        <v>1</v>
      </c>
      <c r="S24" s="1285">
        <v>1</v>
      </c>
      <c r="T24" s="1286">
        <v>1</v>
      </c>
      <c r="U24" s="1287">
        <v>1</v>
      </c>
      <c r="V24" s="1287">
        <v>1</v>
      </c>
      <c r="W24" s="1287">
        <v>1</v>
      </c>
      <c r="X24" s="1287">
        <v>1</v>
      </c>
      <c r="Y24" s="1288">
        <v>1</v>
      </c>
      <c r="Z24" s="1286">
        <v>0</v>
      </c>
      <c r="AA24" s="1287">
        <v>0</v>
      </c>
      <c r="AB24" s="1287">
        <v>0</v>
      </c>
      <c r="AC24" s="1287">
        <v>0</v>
      </c>
      <c r="AD24" s="1287">
        <v>0</v>
      </c>
      <c r="AE24" s="1288">
        <v>0</v>
      </c>
    </row>
    <row r="25" spans="1:31" s="104" customFormat="1" ht="13.5" thickBot="1" x14ac:dyDescent="0.25">
      <c r="A25" s="3"/>
      <c r="B25" s="372">
        <v>2010</v>
      </c>
      <c r="C25" s="1325">
        <v>138005</v>
      </c>
      <c r="D25" s="1266">
        <v>1000000</v>
      </c>
      <c r="E25" s="1266">
        <v>1000000</v>
      </c>
      <c r="F25" s="1266">
        <v>1000000</v>
      </c>
      <c r="G25" s="1266">
        <v>1000000</v>
      </c>
      <c r="H25" s="1267">
        <v>1000000</v>
      </c>
      <c r="I25" s="1202">
        <f t="shared" si="6"/>
        <v>0</v>
      </c>
      <c r="J25" s="373">
        <f t="shared" si="5"/>
        <v>0</v>
      </c>
      <c r="K25" s="373">
        <f t="shared" si="5"/>
        <v>0</v>
      </c>
      <c r="L25" s="373">
        <f t="shared" si="5"/>
        <v>0</v>
      </c>
      <c r="M25" s="1207">
        <f t="shared" si="5"/>
        <v>0</v>
      </c>
      <c r="N25" s="1328">
        <v>5.3626379919559177</v>
      </c>
      <c r="O25" s="1290">
        <v>1</v>
      </c>
      <c r="P25" s="1290">
        <v>1</v>
      </c>
      <c r="Q25" s="1290">
        <v>1</v>
      </c>
      <c r="R25" s="1290">
        <v>1</v>
      </c>
      <c r="S25" s="1291">
        <v>1</v>
      </c>
      <c r="T25" s="1292">
        <v>1</v>
      </c>
      <c r="U25" s="1293">
        <v>1</v>
      </c>
      <c r="V25" s="1293">
        <v>1</v>
      </c>
      <c r="W25" s="1293">
        <v>1</v>
      </c>
      <c r="X25" s="1293">
        <v>1</v>
      </c>
      <c r="Y25" s="1294">
        <v>1</v>
      </c>
      <c r="Z25" s="1292">
        <v>0</v>
      </c>
      <c r="AA25" s="1293">
        <v>0</v>
      </c>
      <c r="AB25" s="1293">
        <v>0</v>
      </c>
      <c r="AC25" s="1293">
        <v>0</v>
      </c>
      <c r="AD25" s="1293">
        <v>0</v>
      </c>
      <c r="AE25" s="1294">
        <v>0</v>
      </c>
    </row>
    <row r="26" spans="1:31" s="104" customFormat="1" x14ac:dyDescent="0.2">
      <c r="A26" s="3"/>
      <c r="B26" s="374">
        <v>2011</v>
      </c>
      <c r="C26" s="1268">
        <v>138005</v>
      </c>
      <c r="D26" s="1269">
        <v>1000000</v>
      </c>
      <c r="E26" s="1269">
        <v>1000000</v>
      </c>
      <c r="F26" s="1269">
        <v>1000000</v>
      </c>
      <c r="G26" s="1269">
        <v>1000000</v>
      </c>
      <c r="H26" s="1270">
        <v>1000000</v>
      </c>
      <c r="I26" s="1200">
        <f t="shared" si="6"/>
        <v>0</v>
      </c>
      <c r="J26" s="375">
        <f t="shared" si="5"/>
        <v>0</v>
      </c>
      <c r="K26" s="375">
        <f t="shared" si="5"/>
        <v>0</v>
      </c>
      <c r="L26" s="375">
        <f t="shared" si="5"/>
        <v>0</v>
      </c>
      <c r="M26" s="1205">
        <f t="shared" si="5"/>
        <v>0</v>
      </c>
      <c r="N26" s="1329">
        <v>5.4796640059835191</v>
      </c>
      <c r="O26" s="1296">
        <v>1</v>
      </c>
      <c r="P26" s="1296">
        <v>1</v>
      </c>
      <c r="Q26" s="1296">
        <v>1</v>
      </c>
      <c r="R26" s="1296">
        <v>1</v>
      </c>
      <c r="S26" s="1297">
        <v>1</v>
      </c>
      <c r="T26" s="1298">
        <v>1</v>
      </c>
      <c r="U26" s="1299">
        <v>1</v>
      </c>
      <c r="V26" s="1299">
        <v>1</v>
      </c>
      <c r="W26" s="1299">
        <v>1</v>
      </c>
      <c r="X26" s="1299">
        <v>1</v>
      </c>
      <c r="Y26" s="1300">
        <v>1</v>
      </c>
      <c r="Z26" s="1298">
        <v>0</v>
      </c>
      <c r="AA26" s="1299">
        <v>0</v>
      </c>
      <c r="AB26" s="1299">
        <v>0</v>
      </c>
      <c r="AC26" s="1299">
        <v>0</v>
      </c>
      <c r="AD26" s="1299">
        <v>0</v>
      </c>
      <c r="AE26" s="1300">
        <v>0</v>
      </c>
    </row>
    <row r="27" spans="1:31" s="104" customFormat="1" x14ac:dyDescent="0.2">
      <c r="A27" s="3"/>
      <c r="B27" s="370">
        <v>2012</v>
      </c>
      <c r="C27" s="1262">
        <v>138005</v>
      </c>
      <c r="D27" s="1263">
        <v>1000000</v>
      </c>
      <c r="E27" s="1263">
        <v>1000000</v>
      </c>
      <c r="F27" s="1263">
        <v>1000000</v>
      </c>
      <c r="G27" s="1263">
        <v>1000000</v>
      </c>
      <c r="H27" s="1264">
        <v>1000000</v>
      </c>
      <c r="I27" s="1201">
        <f t="shared" si="6"/>
        <v>0</v>
      </c>
      <c r="J27" s="371">
        <f t="shared" si="5"/>
        <v>0</v>
      </c>
      <c r="K27" s="371">
        <f t="shared" si="5"/>
        <v>0</v>
      </c>
      <c r="L27" s="371">
        <f t="shared" si="5"/>
        <v>0</v>
      </c>
      <c r="M27" s="1206">
        <f t="shared" si="5"/>
        <v>0</v>
      </c>
      <c r="N27" s="1327">
        <v>5.5253664614026778</v>
      </c>
      <c r="O27" s="1284">
        <v>1</v>
      </c>
      <c r="P27" s="1284">
        <v>1</v>
      </c>
      <c r="Q27" s="1284">
        <v>1</v>
      </c>
      <c r="R27" s="1284">
        <v>1</v>
      </c>
      <c r="S27" s="1285">
        <v>1</v>
      </c>
      <c r="T27" s="1286">
        <v>1</v>
      </c>
      <c r="U27" s="1287">
        <v>1</v>
      </c>
      <c r="V27" s="1287">
        <v>1</v>
      </c>
      <c r="W27" s="1287">
        <v>1</v>
      </c>
      <c r="X27" s="1287">
        <v>1</v>
      </c>
      <c r="Y27" s="1288">
        <v>1</v>
      </c>
      <c r="Z27" s="1286">
        <v>0</v>
      </c>
      <c r="AA27" s="1287">
        <v>0</v>
      </c>
      <c r="AB27" s="1287">
        <v>0</v>
      </c>
      <c r="AC27" s="1287">
        <v>0</v>
      </c>
      <c r="AD27" s="1287">
        <v>0</v>
      </c>
      <c r="AE27" s="1288">
        <v>0</v>
      </c>
    </row>
    <row r="28" spans="1:31" s="104" customFormat="1" x14ac:dyDescent="0.2">
      <c r="A28" s="3"/>
      <c r="B28" s="370">
        <v>2013</v>
      </c>
      <c r="C28" s="1262">
        <v>138005</v>
      </c>
      <c r="D28" s="1263">
        <v>1000000</v>
      </c>
      <c r="E28" s="1263">
        <v>1000000</v>
      </c>
      <c r="F28" s="1263">
        <v>1000000</v>
      </c>
      <c r="G28" s="1263">
        <v>1000000</v>
      </c>
      <c r="H28" s="1264">
        <v>1000000</v>
      </c>
      <c r="I28" s="1201">
        <f t="shared" si="6"/>
        <v>0</v>
      </c>
      <c r="J28" s="371">
        <f t="shared" si="5"/>
        <v>0</v>
      </c>
      <c r="K28" s="371">
        <f t="shared" si="5"/>
        <v>0</v>
      </c>
      <c r="L28" s="371">
        <f t="shared" si="5"/>
        <v>0</v>
      </c>
      <c r="M28" s="1206">
        <f t="shared" si="5"/>
        <v>0</v>
      </c>
      <c r="N28" s="1327">
        <v>5.6111818233785948</v>
      </c>
      <c r="O28" s="1284">
        <v>1</v>
      </c>
      <c r="P28" s="1284">
        <v>1</v>
      </c>
      <c r="Q28" s="1284">
        <v>1</v>
      </c>
      <c r="R28" s="1284">
        <v>1</v>
      </c>
      <c r="S28" s="1285">
        <v>1</v>
      </c>
      <c r="T28" s="1286">
        <v>1</v>
      </c>
      <c r="U28" s="1287">
        <v>1</v>
      </c>
      <c r="V28" s="1287">
        <v>1</v>
      </c>
      <c r="W28" s="1287">
        <v>1</v>
      </c>
      <c r="X28" s="1287">
        <v>1</v>
      </c>
      <c r="Y28" s="1288">
        <v>1</v>
      </c>
      <c r="Z28" s="1286">
        <v>0</v>
      </c>
      <c r="AA28" s="1287">
        <v>0</v>
      </c>
      <c r="AB28" s="1287">
        <v>0</v>
      </c>
      <c r="AC28" s="1287">
        <v>0</v>
      </c>
      <c r="AD28" s="1287">
        <v>0</v>
      </c>
      <c r="AE28" s="1288">
        <v>0</v>
      </c>
    </row>
    <row r="29" spans="1:31" s="104" customFormat="1" x14ac:dyDescent="0.2">
      <c r="A29" s="3"/>
      <c r="B29" s="370">
        <v>2014</v>
      </c>
      <c r="C29" s="1262">
        <v>138005</v>
      </c>
      <c r="D29" s="1263">
        <v>1000000</v>
      </c>
      <c r="E29" s="1263">
        <v>1000000</v>
      </c>
      <c r="F29" s="1263">
        <v>1000000</v>
      </c>
      <c r="G29" s="1263">
        <v>1000000</v>
      </c>
      <c r="H29" s="1264">
        <v>1000000</v>
      </c>
      <c r="I29" s="1201">
        <f t="shared" si="6"/>
        <v>0</v>
      </c>
      <c r="J29" s="371">
        <f t="shared" si="5"/>
        <v>0</v>
      </c>
      <c r="K29" s="371">
        <f t="shared" si="5"/>
        <v>0</v>
      </c>
      <c r="L29" s="371">
        <f t="shared" si="5"/>
        <v>0</v>
      </c>
      <c r="M29" s="1206">
        <f t="shared" si="5"/>
        <v>0</v>
      </c>
      <c r="N29" s="1327">
        <v>5.6935000306007142</v>
      </c>
      <c r="O29" s="1284">
        <v>1</v>
      </c>
      <c r="P29" s="1284">
        <v>1</v>
      </c>
      <c r="Q29" s="1284">
        <v>1</v>
      </c>
      <c r="R29" s="1284">
        <v>1</v>
      </c>
      <c r="S29" s="1285">
        <v>1</v>
      </c>
      <c r="T29" s="1286">
        <v>1</v>
      </c>
      <c r="U29" s="1287">
        <v>1</v>
      </c>
      <c r="V29" s="1287">
        <v>1</v>
      </c>
      <c r="W29" s="1287">
        <v>1</v>
      </c>
      <c r="X29" s="1287">
        <v>1</v>
      </c>
      <c r="Y29" s="1288">
        <v>1</v>
      </c>
      <c r="Z29" s="1286">
        <v>0</v>
      </c>
      <c r="AA29" s="1287">
        <v>0</v>
      </c>
      <c r="AB29" s="1287">
        <v>0</v>
      </c>
      <c r="AC29" s="1287">
        <v>0</v>
      </c>
      <c r="AD29" s="1287">
        <v>0</v>
      </c>
      <c r="AE29" s="1288">
        <v>0</v>
      </c>
    </row>
    <row r="30" spans="1:31" s="104" customFormat="1" ht="13.5" thickBot="1" x14ac:dyDescent="0.25">
      <c r="A30" s="3"/>
      <c r="B30" s="372">
        <v>2015</v>
      </c>
      <c r="C30" s="1265">
        <v>138005</v>
      </c>
      <c r="D30" s="1266">
        <v>1000000</v>
      </c>
      <c r="E30" s="1266">
        <v>1000000</v>
      </c>
      <c r="F30" s="1266">
        <v>1000000</v>
      </c>
      <c r="G30" s="1266">
        <v>1000000</v>
      </c>
      <c r="H30" s="1267">
        <v>1000000</v>
      </c>
      <c r="I30" s="1202">
        <f t="shared" si="6"/>
        <v>0</v>
      </c>
      <c r="J30" s="373">
        <f t="shared" si="5"/>
        <v>0</v>
      </c>
      <c r="K30" s="373">
        <f t="shared" si="5"/>
        <v>0</v>
      </c>
      <c r="L30" s="373">
        <f t="shared" si="5"/>
        <v>0</v>
      </c>
      <c r="M30" s="1207">
        <f t="shared" si="5"/>
        <v>0</v>
      </c>
      <c r="N30" s="1328">
        <v>5.8247460569336464</v>
      </c>
      <c r="O30" s="1290">
        <v>1</v>
      </c>
      <c r="P30" s="1290">
        <v>1</v>
      </c>
      <c r="Q30" s="1301">
        <v>1</v>
      </c>
      <c r="R30" s="1301">
        <v>1</v>
      </c>
      <c r="S30" s="1302">
        <v>1</v>
      </c>
      <c r="T30" s="1292">
        <v>1</v>
      </c>
      <c r="U30" s="1293">
        <v>1</v>
      </c>
      <c r="V30" s="1293">
        <v>1</v>
      </c>
      <c r="W30" s="1293">
        <v>1</v>
      </c>
      <c r="X30" s="1293">
        <v>1</v>
      </c>
      <c r="Y30" s="1294">
        <v>1</v>
      </c>
      <c r="Z30" s="1292">
        <v>0</v>
      </c>
      <c r="AA30" s="1293">
        <v>0</v>
      </c>
      <c r="AB30" s="1293">
        <v>0</v>
      </c>
      <c r="AC30" s="1293">
        <v>0</v>
      </c>
      <c r="AD30" s="1293">
        <v>0</v>
      </c>
      <c r="AE30" s="1294">
        <v>0</v>
      </c>
    </row>
    <row r="31" spans="1:31" s="104" customFormat="1" x14ac:dyDescent="0.2">
      <c r="A31" s="3"/>
      <c r="B31" s="374">
        <v>2016</v>
      </c>
      <c r="C31" s="1268">
        <v>138005</v>
      </c>
      <c r="D31" s="1269">
        <v>1000000</v>
      </c>
      <c r="E31" s="1269">
        <v>1000000</v>
      </c>
      <c r="F31" s="1269">
        <v>1000000</v>
      </c>
      <c r="G31" s="1269">
        <v>1000000</v>
      </c>
      <c r="H31" s="1270">
        <v>1000000</v>
      </c>
      <c r="I31" s="1200">
        <f t="shared" si="6"/>
        <v>0</v>
      </c>
      <c r="J31" s="375">
        <f t="shared" si="5"/>
        <v>0</v>
      </c>
      <c r="K31" s="375">
        <f t="shared" si="5"/>
        <v>0</v>
      </c>
      <c r="L31" s="375">
        <f t="shared" si="5"/>
        <v>0</v>
      </c>
      <c r="M31" s="1205">
        <f t="shared" si="5"/>
        <v>0</v>
      </c>
      <c r="N31" s="1329">
        <v>5.9417850974152433</v>
      </c>
      <c r="O31" s="1284">
        <v>1</v>
      </c>
      <c r="P31" s="1284">
        <v>1</v>
      </c>
      <c r="Q31" s="1303">
        <v>1</v>
      </c>
      <c r="R31" s="1303">
        <v>1</v>
      </c>
      <c r="S31" s="1304">
        <v>1</v>
      </c>
      <c r="T31" s="1298">
        <v>1</v>
      </c>
      <c r="U31" s="1299">
        <v>1</v>
      </c>
      <c r="V31" s="1299">
        <v>1</v>
      </c>
      <c r="W31" s="1299">
        <v>1</v>
      </c>
      <c r="X31" s="1299">
        <v>1</v>
      </c>
      <c r="Y31" s="1300">
        <v>1</v>
      </c>
      <c r="Z31" s="1298">
        <v>0</v>
      </c>
      <c r="AA31" s="1299">
        <v>0</v>
      </c>
      <c r="AB31" s="1299">
        <v>0</v>
      </c>
      <c r="AC31" s="1299">
        <v>0</v>
      </c>
      <c r="AD31" s="1299">
        <v>0</v>
      </c>
      <c r="AE31" s="1300">
        <v>0</v>
      </c>
    </row>
    <row r="32" spans="1:31" s="104" customFormat="1" x14ac:dyDescent="0.2">
      <c r="A32" s="3"/>
      <c r="B32" s="370">
        <v>2017</v>
      </c>
      <c r="C32" s="1262">
        <v>138005</v>
      </c>
      <c r="D32" s="1263">
        <v>1000000</v>
      </c>
      <c r="E32" s="1263">
        <v>1000000</v>
      </c>
      <c r="F32" s="1263">
        <v>1000000</v>
      </c>
      <c r="G32" s="1263">
        <v>1000000</v>
      </c>
      <c r="H32" s="1264">
        <v>1000000</v>
      </c>
      <c r="I32" s="1201">
        <f t="shared" si="6"/>
        <v>0</v>
      </c>
      <c r="J32" s="371">
        <f t="shared" si="5"/>
        <v>0</v>
      </c>
      <c r="K32" s="371">
        <f t="shared" si="5"/>
        <v>0</v>
      </c>
      <c r="L32" s="371">
        <f t="shared" si="5"/>
        <v>0</v>
      </c>
      <c r="M32" s="1206">
        <f t="shared" si="5"/>
        <v>0</v>
      </c>
      <c r="N32" s="1327">
        <v>6.0812497021833618</v>
      </c>
      <c r="O32" s="1284">
        <v>1</v>
      </c>
      <c r="P32" s="1284">
        <v>1</v>
      </c>
      <c r="Q32" s="1303">
        <v>1</v>
      </c>
      <c r="R32" s="1303">
        <v>1</v>
      </c>
      <c r="S32" s="1304">
        <v>1</v>
      </c>
      <c r="T32" s="1286">
        <v>1</v>
      </c>
      <c r="U32" s="1287">
        <v>1</v>
      </c>
      <c r="V32" s="1287">
        <v>1</v>
      </c>
      <c r="W32" s="1287">
        <v>1</v>
      </c>
      <c r="X32" s="1287">
        <v>1</v>
      </c>
      <c r="Y32" s="1288">
        <v>1</v>
      </c>
      <c r="Z32" s="1286">
        <v>0</v>
      </c>
      <c r="AA32" s="1287">
        <v>0</v>
      </c>
      <c r="AB32" s="1287">
        <v>0</v>
      </c>
      <c r="AC32" s="1287">
        <v>0</v>
      </c>
      <c r="AD32" s="1287">
        <v>0</v>
      </c>
      <c r="AE32" s="1288">
        <v>0</v>
      </c>
    </row>
    <row r="33" spans="1:31" s="104" customFormat="1" x14ac:dyDescent="0.2">
      <c r="A33" s="3"/>
      <c r="B33" s="370">
        <v>2018</v>
      </c>
      <c r="C33" s="1262">
        <v>138005</v>
      </c>
      <c r="D33" s="1263">
        <v>1000000</v>
      </c>
      <c r="E33" s="1263">
        <v>1000000</v>
      </c>
      <c r="F33" s="1263">
        <v>1000000</v>
      </c>
      <c r="G33" s="1263">
        <v>1000000</v>
      </c>
      <c r="H33" s="1264">
        <v>1000000</v>
      </c>
      <c r="I33" s="1201">
        <f t="shared" si="6"/>
        <v>0</v>
      </c>
      <c r="J33" s="371">
        <f t="shared" si="5"/>
        <v>0</v>
      </c>
      <c r="K33" s="371">
        <f t="shared" si="5"/>
        <v>0</v>
      </c>
      <c r="L33" s="371">
        <f t="shared" si="5"/>
        <v>0</v>
      </c>
      <c r="M33" s="1206">
        <f t="shared" si="5"/>
        <v>0</v>
      </c>
      <c r="N33" s="1327">
        <v>6.2496669392771844</v>
      </c>
      <c r="O33" s="1284">
        <v>1</v>
      </c>
      <c r="P33" s="1284">
        <v>1</v>
      </c>
      <c r="Q33" s="1303">
        <v>1</v>
      </c>
      <c r="R33" s="1303">
        <v>1</v>
      </c>
      <c r="S33" s="1304">
        <v>1</v>
      </c>
      <c r="T33" s="1286">
        <v>1</v>
      </c>
      <c r="U33" s="1287">
        <v>1</v>
      </c>
      <c r="V33" s="1287">
        <v>1</v>
      </c>
      <c r="W33" s="1287">
        <v>1</v>
      </c>
      <c r="X33" s="1287">
        <v>1</v>
      </c>
      <c r="Y33" s="1288">
        <v>1</v>
      </c>
      <c r="Z33" s="1286">
        <v>0</v>
      </c>
      <c r="AA33" s="1287">
        <v>0</v>
      </c>
      <c r="AB33" s="1287">
        <v>0</v>
      </c>
      <c r="AC33" s="1287">
        <v>0</v>
      </c>
      <c r="AD33" s="1287">
        <v>0</v>
      </c>
      <c r="AE33" s="1288">
        <v>0</v>
      </c>
    </row>
    <row r="34" spans="1:31" s="104" customFormat="1" x14ac:dyDescent="0.2">
      <c r="A34" s="3"/>
      <c r="B34" s="370">
        <v>2019</v>
      </c>
      <c r="C34" s="1262">
        <v>138005</v>
      </c>
      <c r="D34" s="1263">
        <v>1000000</v>
      </c>
      <c r="E34" s="1263">
        <v>1000000</v>
      </c>
      <c r="F34" s="1263">
        <v>1000000</v>
      </c>
      <c r="G34" s="1263">
        <v>1000000</v>
      </c>
      <c r="H34" s="1264">
        <v>1000000</v>
      </c>
      <c r="I34" s="1201">
        <f t="shared" si="6"/>
        <v>0</v>
      </c>
      <c r="J34" s="371">
        <f t="shared" si="5"/>
        <v>0</v>
      </c>
      <c r="K34" s="371">
        <f t="shared" si="5"/>
        <v>0</v>
      </c>
      <c r="L34" s="371">
        <f t="shared" si="5"/>
        <v>0</v>
      </c>
      <c r="M34" s="1206">
        <f t="shared" si="5"/>
        <v>0</v>
      </c>
      <c r="N34" s="1327">
        <v>6.2895072207890257</v>
      </c>
      <c r="O34" s="1284">
        <v>1</v>
      </c>
      <c r="P34" s="1284">
        <v>1</v>
      </c>
      <c r="Q34" s="1303">
        <v>1</v>
      </c>
      <c r="R34" s="1303">
        <v>1</v>
      </c>
      <c r="S34" s="1304">
        <v>1</v>
      </c>
      <c r="T34" s="1286">
        <v>1</v>
      </c>
      <c r="U34" s="1287">
        <v>1</v>
      </c>
      <c r="V34" s="1287">
        <v>1</v>
      </c>
      <c r="W34" s="1287">
        <v>1</v>
      </c>
      <c r="X34" s="1287">
        <v>1</v>
      </c>
      <c r="Y34" s="1288">
        <v>1</v>
      </c>
      <c r="Z34" s="1286">
        <v>0</v>
      </c>
      <c r="AA34" s="1287">
        <v>0</v>
      </c>
      <c r="AB34" s="1287">
        <v>0</v>
      </c>
      <c r="AC34" s="1287">
        <v>0</v>
      </c>
      <c r="AD34" s="1287">
        <v>0</v>
      </c>
      <c r="AE34" s="1288">
        <v>0</v>
      </c>
    </row>
    <row r="35" spans="1:31" s="104" customFormat="1" ht="13.5" thickBot="1" x14ac:dyDescent="0.25">
      <c r="A35" s="3"/>
      <c r="B35" s="372">
        <v>2020</v>
      </c>
      <c r="C35" s="1265">
        <v>138005</v>
      </c>
      <c r="D35" s="1266">
        <v>1000000</v>
      </c>
      <c r="E35" s="1266">
        <v>1000000</v>
      </c>
      <c r="F35" s="1266">
        <v>1000000</v>
      </c>
      <c r="G35" s="1266">
        <v>1000000</v>
      </c>
      <c r="H35" s="1267">
        <v>1000000</v>
      </c>
      <c r="I35" s="1202">
        <f t="shared" si="6"/>
        <v>0</v>
      </c>
      <c r="J35" s="373">
        <f t="shared" si="5"/>
        <v>0</v>
      </c>
      <c r="K35" s="373">
        <f t="shared" si="5"/>
        <v>0</v>
      </c>
      <c r="L35" s="373">
        <f t="shared" si="5"/>
        <v>0</v>
      </c>
      <c r="M35" s="1207">
        <f t="shared" si="5"/>
        <v>0</v>
      </c>
      <c r="N35" s="1328">
        <v>6.3438804932677701</v>
      </c>
      <c r="O35" s="1290">
        <v>1</v>
      </c>
      <c r="P35" s="1290">
        <v>1</v>
      </c>
      <c r="Q35" s="1301">
        <v>1</v>
      </c>
      <c r="R35" s="1301">
        <v>1</v>
      </c>
      <c r="S35" s="1302">
        <v>1</v>
      </c>
      <c r="T35" s="1292">
        <v>1</v>
      </c>
      <c r="U35" s="1293">
        <v>1</v>
      </c>
      <c r="V35" s="1293">
        <v>1</v>
      </c>
      <c r="W35" s="1293">
        <v>1</v>
      </c>
      <c r="X35" s="1293">
        <v>1</v>
      </c>
      <c r="Y35" s="1294">
        <v>1</v>
      </c>
      <c r="Z35" s="1292">
        <v>0</v>
      </c>
      <c r="AA35" s="1293">
        <v>0</v>
      </c>
      <c r="AB35" s="1293">
        <v>0</v>
      </c>
      <c r="AC35" s="1293">
        <v>0</v>
      </c>
      <c r="AD35" s="1293">
        <v>0</v>
      </c>
      <c r="AE35" s="1294">
        <v>0</v>
      </c>
    </row>
    <row r="36" spans="1:31" s="104" customFormat="1" x14ac:dyDescent="0.2">
      <c r="A36" s="3"/>
      <c r="B36" s="374">
        <v>2021</v>
      </c>
      <c r="C36" s="1268">
        <v>138005</v>
      </c>
      <c r="D36" s="1269">
        <v>1</v>
      </c>
      <c r="E36" s="1269">
        <v>9699</v>
      </c>
      <c r="F36" s="1269">
        <v>450039</v>
      </c>
      <c r="G36" s="1269">
        <v>131845</v>
      </c>
      <c r="H36" s="1270">
        <v>231623</v>
      </c>
      <c r="I36" s="1200">
        <f t="shared" si="6"/>
        <v>0</v>
      </c>
      <c r="J36" s="375">
        <f t="shared" si="5"/>
        <v>0</v>
      </c>
      <c r="K36" s="375">
        <f t="shared" si="5"/>
        <v>0</v>
      </c>
      <c r="L36" s="375">
        <f t="shared" si="5"/>
        <v>0</v>
      </c>
      <c r="M36" s="1205">
        <f t="shared" si="5"/>
        <v>0</v>
      </c>
      <c r="N36" s="1329">
        <v>6.3480818446503209</v>
      </c>
      <c r="O36" s="1296">
        <v>7.1087522616294718</v>
      </c>
      <c r="P36" s="1296">
        <v>7.5405593776141604</v>
      </c>
      <c r="Q36" s="1303">
        <v>14.980970598200189</v>
      </c>
      <c r="R36" s="1303">
        <v>9.4993510151084877</v>
      </c>
      <c r="S36" s="1304">
        <v>6.9033767159791575</v>
      </c>
      <c r="T36" s="1298">
        <v>1</v>
      </c>
      <c r="U36" s="1299">
        <v>1</v>
      </c>
      <c r="V36" s="1299">
        <v>1</v>
      </c>
      <c r="W36" s="1299">
        <v>1</v>
      </c>
      <c r="X36" s="1299">
        <v>1</v>
      </c>
      <c r="Y36" s="1300">
        <v>15.170565113105573</v>
      </c>
      <c r="Z36" s="1298">
        <v>0</v>
      </c>
      <c r="AA36" s="1299">
        <v>0</v>
      </c>
      <c r="AB36" s="1299">
        <v>0</v>
      </c>
      <c r="AC36" s="1299">
        <v>290.88929698753316</v>
      </c>
      <c r="AD36" s="1299">
        <v>0</v>
      </c>
      <c r="AE36" s="1300">
        <v>129.95151057170187</v>
      </c>
    </row>
    <row r="37" spans="1:31" s="104" customFormat="1" x14ac:dyDescent="0.2">
      <c r="A37" s="3"/>
      <c r="B37" s="370">
        <v>2022</v>
      </c>
      <c r="C37" s="1262">
        <v>138005</v>
      </c>
      <c r="D37" s="1263">
        <v>1227.0519934165886</v>
      </c>
      <c r="E37" s="1263">
        <v>10645.703913079375</v>
      </c>
      <c r="F37" s="1263">
        <v>429478.41983699298</v>
      </c>
      <c r="G37" s="1263">
        <v>126515.16242673786</v>
      </c>
      <c r="H37" s="1264">
        <v>220353.83051839325</v>
      </c>
      <c r="I37" s="1201">
        <f t="shared" si="6"/>
        <v>0</v>
      </c>
      <c r="J37" s="371">
        <f t="shared" si="5"/>
        <v>0</v>
      </c>
      <c r="K37" s="371">
        <f t="shared" si="5"/>
        <v>0</v>
      </c>
      <c r="L37" s="371">
        <f t="shared" si="5"/>
        <v>0</v>
      </c>
      <c r="M37" s="1206">
        <f t="shared" si="5"/>
        <v>0</v>
      </c>
      <c r="N37" s="1327">
        <v>6.4291000607445872</v>
      </c>
      <c r="O37" s="1284">
        <v>7.2216293324455645</v>
      </c>
      <c r="P37" s="1284">
        <v>7.6639527936530456</v>
      </c>
      <c r="Q37" s="1305">
        <v>15.120498893643797</v>
      </c>
      <c r="R37" s="1305">
        <v>9.6119736479639144</v>
      </c>
      <c r="S37" s="1306">
        <v>7.0537623515367533</v>
      </c>
      <c r="T37" s="1286">
        <v>1</v>
      </c>
      <c r="U37" s="1287">
        <v>1</v>
      </c>
      <c r="V37" s="1287">
        <v>1</v>
      </c>
      <c r="W37" s="1287">
        <v>1</v>
      </c>
      <c r="X37" s="1287">
        <v>1</v>
      </c>
      <c r="Y37" s="1288">
        <v>15.307234051664793</v>
      </c>
      <c r="Z37" s="1286">
        <v>0</v>
      </c>
      <c r="AA37" s="1287">
        <v>0</v>
      </c>
      <c r="AB37" s="1287">
        <v>0</v>
      </c>
      <c r="AC37" s="1287">
        <v>289.9817337405222</v>
      </c>
      <c r="AD37" s="1287">
        <v>0</v>
      </c>
      <c r="AE37" s="1288">
        <v>128.16715533386662</v>
      </c>
    </row>
    <row r="38" spans="1:31" s="104" customFormat="1" x14ac:dyDescent="0.2">
      <c r="A38" s="3"/>
      <c r="B38" s="370">
        <v>2023</v>
      </c>
      <c r="C38" s="1262">
        <v>138005</v>
      </c>
      <c r="D38" s="1263">
        <v>2618.7580516977087</v>
      </c>
      <c r="E38" s="1263">
        <v>11719.442905640291</v>
      </c>
      <c r="F38" s="1263">
        <v>406158.88315219642</v>
      </c>
      <c r="G38" s="1263">
        <v>120470.13150697228</v>
      </c>
      <c r="H38" s="1264">
        <v>207572.48830673989</v>
      </c>
      <c r="I38" s="1201">
        <f t="shared" si="6"/>
        <v>0</v>
      </c>
      <c r="J38" s="371">
        <f t="shared" si="6"/>
        <v>0</v>
      </c>
      <c r="K38" s="371">
        <f t="shared" si="6"/>
        <v>0</v>
      </c>
      <c r="L38" s="371">
        <f t="shared" si="6"/>
        <v>0</v>
      </c>
      <c r="M38" s="1206">
        <f t="shared" si="6"/>
        <v>0</v>
      </c>
      <c r="N38" s="1327">
        <v>6.5254599640226782</v>
      </c>
      <c r="O38" s="1284">
        <v>7.3496530055569043</v>
      </c>
      <c r="P38" s="1284">
        <v>7.8039039657098721</v>
      </c>
      <c r="Q38" s="1305">
        <v>15.278750031421442</v>
      </c>
      <c r="R38" s="1305">
        <v>9.7397087409228114</v>
      </c>
      <c r="S38" s="1306">
        <v>7.224327740132237</v>
      </c>
      <c r="T38" s="1286">
        <v>1</v>
      </c>
      <c r="U38" s="1287">
        <v>1</v>
      </c>
      <c r="V38" s="1287">
        <v>1</v>
      </c>
      <c r="W38" s="1287">
        <v>1</v>
      </c>
      <c r="X38" s="1287">
        <v>1</v>
      </c>
      <c r="Y38" s="1288">
        <v>15.46224214487698</v>
      </c>
      <c r="Z38" s="1286">
        <v>0</v>
      </c>
      <c r="AA38" s="1287">
        <v>0</v>
      </c>
      <c r="AB38" s="1287">
        <v>0</v>
      </c>
      <c r="AC38" s="1287">
        <v>288.95238757107302</v>
      </c>
      <c r="AD38" s="1287">
        <v>0</v>
      </c>
      <c r="AE38" s="1288">
        <v>126.14336334465632</v>
      </c>
    </row>
    <row r="39" spans="1:31" s="104" customFormat="1" x14ac:dyDescent="0.2">
      <c r="A39" s="3"/>
      <c r="B39" s="370">
        <v>2024</v>
      </c>
      <c r="C39" s="1262">
        <v>138005</v>
      </c>
      <c r="D39" s="1263">
        <v>4822.34007712113</v>
      </c>
      <c r="E39" s="1263">
        <v>13419.566239820362</v>
      </c>
      <c r="F39" s="1263">
        <v>369235.48860774329</v>
      </c>
      <c r="G39" s="1263">
        <v>110898.62651950655</v>
      </c>
      <c r="H39" s="1264">
        <v>187334.92751522415</v>
      </c>
      <c r="I39" s="1201">
        <f t="shared" si="6"/>
        <v>0</v>
      </c>
      <c r="J39" s="371">
        <f t="shared" si="6"/>
        <v>0</v>
      </c>
      <c r="K39" s="371">
        <f t="shared" si="6"/>
        <v>0</v>
      </c>
      <c r="L39" s="371">
        <f t="shared" si="6"/>
        <v>0</v>
      </c>
      <c r="M39" s="1206">
        <f t="shared" si="6"/>
        <v>0</v>
      </c>
      <c r="N39" s="1327">
        <v>6.6581303524586453</v>
      </c>
      <c r="O39" s="1284">
        <v>7.5523615180464336</v>
      </c>
      <c r="P39" s="1284">
        <v>8.0254980913848435</v>
      </c>
      <c r="Q39" s="1305">
        <v>15.529319726533872</v>
      </c>
      <c r="R39" s="1305">
        <v>9.9419603250020359</v>
      </c>
      <c r="S39" s="1306">
        <v>7.4943954187428927</v>
      </c>
      <c r="T39" s="1286">
        <v>1</v>
      </c>
      <c r="U39" s="1287">
        <v>1</v>
      </c>
      <c r="V39" s="1287">
        <v>1</v>
      </c>
      <c r="W39" s="1287">
        <v>1</v>
      </c>
      <c r="X39" s="1287">
        <v>1</v>
      </c>
      <c r="Y39" s="1288">
        <v>15.707676908895614</v>
      </c>
      <c r="Z39" s="1286">
        <v>0</v>
      </c>
      <c r="AA39" s="1287">
        <v>0</v>
      </c>
      <c r="AB39" s="1287">
        <v>0</v>
      </c>
      <c r="AC39" s="1287">
        <v>287.32255438651515</v>
      </c>
      <c r="AD39" s="1287">
        <v>0</v>
      </c>
      <c r="AE39" s="1288">
        <v>122.93895705204616</v>
      </c>
    </row>
    <row r="40" spans="1:31" s="104" customFormat="1" ht="13.5" thickBot="1" x14ac:dyDescent="0.25">
      <c r="A40" s="3"/>
      <c r="B40" s="372">
        <v>2025</v>
      </c>
      <c r="C40" s="1265">
        <v>138005</v>
      </c>
      <c r="D40" s="1266">
        <v>7295.702828241775</v>
      </c>
      <c r="E40" s="1266">
        <v>15327.832725277847</v>
      </c>
      <c r="F40" s="1266">
        <v>327791.62690550683</v>
      </c>
      <c r="G40" s="1266">
        <v>100155.29877629962</v>
      </c>
      <c r="H40" s="1267">
        <v>164619.71725403276</v>
      </c>
      <c r="I40" s="1202">
        <f t="shared" si="6"/>
        <v>0</v>
      </c>
      <c r="J40" s="373">
        <f t="shared" si="6"/>
        <v>0</v>
      </c>
      <c r="K40" s="373">
        <f t="shared" si="6"/>
        <v>0</v>
      </c>
      <c r="L40" s="373">
        <f t="shared" si="6"/>
        <v>0</v>
      </c>
      <c r="M40" s="1207">
        <f t="shared" si="6"/>
        <v>0</v>
      </c>
      <c r="N40" s="1328">
        <v>6.8086034138932883</v>
      </c>
      <c r="O40" s="1290">
        <v>7.7798872821624014</v>
      </c>
      <c r="P40" s="1290">
        <v>8.2742216015552028</v>
      </c>
      <c r="Q40" s="1301">
        <v>15.81056623485555</v>
      </c>
      <c r="R40" s="1301">
        <v>10.16897321975488</v>
      </c>
      <c r="S40" s="1302">
        <v>7.7975270148671028</v>
      </c>
      <c r="T40" s="1292">
        <v>1</v>
      </c>
      <c r="U40" s="1293">
        <v>1</v>
      </c>
      <c r="V40" s="1293">
        <v>1</v>
      </c>
      <c r="W40" s="1293">
        <v>1</v>
      </c>
      <c r="X40" s="1293">
        <v>1</v>
      </c>
      <c r="Y40" s="1294">
        <v>15.9831598254152</v>
      </c>
      <c r="Z40" s="1292">
        <v>0</v>
      </c>
      <c r="AA40" s="1293">
        <v>0</v>
      </c>
      <c r="AB40" s="1293">
        <v>0</v>
      </c>
      <c r="AC40" s="1293">
        <v>285.49318355179383</v>
      </c>
      <c r="AD40" s="1293">
        <v>0</v>
      </c>
      <c r="AE40" s="1294">
        <v>119.34224085443803</v>
      </c>
    </row>
    <row r="41" spans="1:31" s="104" customFormat="1" x14ac:dyDescent="0.2">
      <c r="A41" s="3"/>
      <c r="B41" s="374">
        <v>2026</v>
      </c>
      <c r="C41" s="1268">
        <v>138005</v>
      </c>
      <c r="D41" s="1269">
        <v>9195.9683269701236</v>
      </c>
      <c r="E41" s="1269">
        <v>16793.939127604583</v>
      </c>
      <c r="F41" s="1269">
        <v>295950.6280503461</v>
      </c>
      <c r="G41" s="1269">
        <v>91901.283047026911</v>
      </c>
      <c r="H41" s="1270">
        <v>147167.79665073889</v>
      </c>
      <c r="I41" s="1200">
        <f t="shared" si="6"/>
        <v>0</v>
      </c>
      <c r="J41" s="375">
        <f t="shared" si="6"/>
        <v>0</v>
      </c>
      <c r="K41" s="375">
        <f t="shared" si="6"/>
        <v>0</v>
      </c>
      <c r="L41" s="375">
        <f t="shared" si="6"/>
        <v>0</v>
      </c>
      <c r="M41" s="1205">
        <f t="shared" si="6"/>
        <v>0</v>
      </c>
      <c r="N41" s="1329">
        <v>6.9782165360518356</v>
      </c>
      <c r="O41" s="1296">
        <v>7.9546935694429397</v>
      </c>
      <c r="P41" s="1296">
        <v>8.4653139534090478</v>
      </c>
      <c r="Q41" s="1303">
        <v>16.026645754998462</v>
      </c>
      <c r="R41" s="1303">
        <v>10.343385473464863</v>
      </c>
      <c r="S41" s="1304">
        <v>8.0304206789397501</v>
      </c>
      <c r="T41" s="1298">
        <v>1</v>
      </c>
      <c r="U41" s="1299">
        <v>1</v>
      </c>
      <c r="V41" s="1299">
        <v>1</v>
      </c>
      <c r="W41" s="1299">
        <v>1</v>
      </c>
      <c r="X41" s="1299">
        <v>1</v>
      </c>
      <c r="Y41" s="1300">
        <v>16.194811222491523</v>
      </c>
      <c r="Z41" s="1298">
        <v>0</v>
      </c>
      <c r="AA41" s="1299">
        <v>0</v>
      </c>
      <c r="AB41" s="1299">
        <v>0</v>
      </c>
      <c r="AC41" s="1299">
        <v>284.08769206857903</v>
      </c>
      <c r="AD41" s="1299">
        <v>0</v>
      </c>
      <c r="AE41" s="1300">
        <v>116.57891157896663</v>
      </c>
    </row>
    <row r="42" spans="1:31" s="104" customFormat="1" x14ac:dyDescent="0.2">
      <c r="A42" s="3"/>
      <c r="B42" s="370">
        <v>2027</v>
      </c>
      <c r="C42" s="1262">
        <v>138005</v>
      </c>
      <c r="D42" s="1263">
        <v>11156.686100566963</v>
      </c>
      <c r="E42" s="1263">
        <v>18306.686100566963</v>
      </c>
      <c r="F42" s="1263">
        <v>263096.68610056693</v>
      </c>
      <c r="G42" s="1263">
        <v>83384.686100566963</v>
      </c>
      <c r="H42" s="1264">
        <v>129160.68610056693</v>
      </c>
      <c r="I42" s="1201">
        <f t="shared" si="6"/>
        <v>0</v>
      </c>
      <c r="J42" s="371">
        <f t="shared" si="6"/>
        <v>0</v>
      </c>
      <c r="K42" s="371">
        <f t="shared" si="6"/>
        <v>0</v>
      </c>
      <c r="L42" s="371">
        <f t="shared" si="6"/>
        <v>0</v>
      </c>
      <c r="M42" s="1206">
        <f t="shared" si="6"/>
        <v>0</v>
      </c>
      <c r="N42" s="1327">
        <v>7.1454647701784486</v>
      </c>
      <c r="O42" s="1284">
        <v>8.1350608889763372</v>
      </c>
      <c r="P42" s="1284">
        <v>8.6624854386193988</v>
      </c>
      <c r="Q42" s="1305">
        <v>16.249599313823794</v>
      </c>
      <c r="R42" s="1305">
        <v>10.523346224218427</v>
      </c>
      <c r="S42" s="1306">
        <v>8.2707232823448589</v>
      </c>
      <c r="T42" s="1286">
        <v>1</v>
      </c>
      <c r="U42" s="1287">
        <v>1</v>
      </c>
      <c r="V42" s="1287">
        <v>1</v>
      </c>
      <c r="W42" s="1287">
        <v>1</v>
      </c>
      <c r="X42" s="1287">
        <v>1</v>
      </c>
      <c r="Y42" s="1288">
        <v>16.413195788401847</v>
      </c>
      <c r="Z42" s="1286">
        <v>0</v>
      </c>
      <c r="AA42" s="1287">
        <v>0</v>
      </c>
      <c r="AB42" s="1287">
        <v>0</v>
      </c>
      <c r="AC42" s="1287">
        <v>282.63748832935289</v>
      </c>
      <c r="AD42" s="1287">
        <v>0</v>
      </c>
      <c r="AE42" s="1288">
        <v>113.72767377648954</v>
      </c>
    </row>
    <row r="43" spans="1:31" s="104" customFormat="1" x14ac:dyDescent="0.2">
      <c r="A43" s="3"/>
      <c r="B43" s="370">
        <v>2028</v>
      </c>
      <c r="C43" s="1262">
        <v>138718.45332461005</v>
      </c>
      <c r="D43" s="1263">
        <v>11650.542959150234</v>
      </c>
      <c r="E43" s="1263">
        <v>18644.333317336615</v>
      </c>
      <c r="F43" s="1263">
        <v>238124.76650564236</v>
      </c>
      <c r="G43" s="1263">
        <v>80429.313906642594</v>
      </c>
      <c r="H43" s="1264">
        <v>119075.14483293709</v>
      </c>
      <c r="I43" s="1201">
        <f t="shared" si="6"/>
        <v>0</v>
      </c>
      <c r="J43" s="371">
        <f t="shared" si="6"/>
        <v>0</v>
      </c>
      <c r="K43" s="371">
        <f t="shared" si="6"/>
        <v>0</v>
      </c>
      <c r="L43" s="371">
        <f t="shared" si="6"/>
        <v>0</v>
      </c>
      <c r="M43" s="1206">
        <f t="shared" si="6"/>
        <v>0</v>
      </c>
      <c r="N43" s="1327">
        <v>7.2213425095119215</v>
      </c>
      <c r="O43" s="1284">
        <v>8.4707551961052641</v>
      </c>
      <c r="P43" s="1284">
        <v>9.0407541203879589</v>
      </c>
      <c r="Q43" s="1305">
        <v>16.765714205099645</v>
      </c>
      <c r="R43" s="1305">
        <v>10.841256691778401</v>
      </c>
      <c r="S43" s="1306">
        <v>8.5694473685701666</v>
      </c>
      <c r="T43" s="1286">
        <v>1</v>
      </c>
      <c r="U43" s="1287">
        <v>1</v>
      </c>
      <c r="V43" s="1287">
        <v>1</v>
      </c>
      <c r="W43" s="1287">
        <v>1</v>
      </c>
      <c r="X43" s="1287">
        <v>1</v>
      </c>
      <c r="Y43" s="1288">
        <v>16.90613060868591</v>
      </c>
      <c r="Z43" s="1286">
        <v>0</v>
      </c>
      <c r="AA43" s="1287">
        <v>0</v>
      </c>
      <c r="AB43" s="1287">
        <v>0</v>
      </c>
      <c r="AC43" s="1287">
        <v>285.18992488977369</v>
      </c>
      <c r="AD43" s="1287">
        <v>0</v>
      </c>
      <c r="AE43" s="1288">
        <v>114.97196335793456</v>
      </c>
    </row>
    <row r="44" spans="1:31" s="104" customFormat="1" x14ac:dyDescent="0.2">
      <c r="A44" s="3"/>
      <c r="B44" s="370">
        <v>2029</v>
      </c>
      <c r="C44" s="1262">
        <v>139224.49553988935</v>
      </c>
      <c r="D44" s="1263">
        <v>12021.827112507228</v>
      </c>
      <c r="E44" s="1263">
        <v>18898.178249998469</v>
      </c>
      <c r="F44" s="1263">
        <v>219350.74754982954</v>
      </c>
      <c r="G44" s="1263">
        <v>78207.449729188855</v>
      </c>
      <c r="H44" s="1264">
        <v>111492.78248316412</v>
      </c>
      <c r="I44" s="1201">
        <f t="shared" si="6"/>
        <v>0</v>
      </c>
      <c r="J44" s="371">
        <f t="shared" si="6"/>
        <v>0</v>
      </c>
      <c r="K44" s="371">
        <f t="shared" si="6"/>
        <v>0</v>
      </c>
      <c r="L44" s="371">
        <f t="shared" si="6"/>
        <v>0</v>
      </c>
      <c r="M44" s="1206">
        <f t="shared" si="6"/>
        <v>0</v>
      </c>
      <c r="N44" s="1327">
        <v>7.2751615022591807</v>
      </c>
      <c r="O44" s="1284">
        <v>8.7231319211479725</v>
      </c>
      <c r="P44" s="1284">
        <v>9.3251384815868708</v>
      </c>
      <c r="Q44" s="1305">
        <v>17.153732063132452</v>
      </c>
      <c r="R44" s="1305">
        <v>11.080263433792553</v>
      </c>
      <c r="S44" s="1306">
        <v>8.7940296893658658</v>
      </c>
      <c r="T44" s="1286">
        <v>1</v>
      </c>
      <c r="U44" s="1287">
        <v>1</v>
      </c>
      <c r="V44" s="1287">
        <v>1</v>
      </c>
      <c r="W44" s="1287">
        <v>1</v>
      </c>
      <c r="X44" s="1287">
        <v>1</v>
      </c>
      <c r="Y44" s="1288">
        <v>17.276721568856793</v>
      </c>
      <c r="Z44" s="1286">
        <v>0</v>
      </c>
      <c r="AA44" s="1287">
        <v>0</v>
      </c>
      <c r="AB44" s="1287">
        <v>0</v>
      </c>
      <c r="AC44" s="1287">
        <v>287.10885996349504</v>
      </c>
      <c r="AD44" s="1287">
        <v>0</v>
      </c>
      <c r="AE44" s="1288">
        <v>115.90742673309764</v>
      </c>
    </row>
    <row r="45" spans="1:31" s="104" customFormat="1" ht="13.5" thickBot="1" x14ac:dyDescent="0.25">
      <c r="A45" s="3"/>
      <c r="B45" s="372">
        <v>2030</v>
      </c>
      <c r="C45" s="1265">
        <v>139523.14024300172</v>
      </c>
      <c r="D45" s="1266">
        <v>12484.329675558614</v>
      </c>
      <c r="E45" s="1266">
        <v>19214.388707439753</v>
      </c>
      <c r="F45" s="1266">
        <v>195964.26092676629</v>
      </c>
      <c r="G45" s="1266">
        <v>75439.710067980253</v>
      </c>
      <c r="H45" s="1267">
        <v>102047.55841678054</v>
      </c>
      <c r="I45" s="1202">
        <f t="shared" si="6"/>
        <v>0</v>
      </c>
      <c r="J45" s="373">
        <f t="shared" si="6"/>
        <v>0</v>
      </c>
      <c r="K45" s="373">
        <f t="shared" si="6"/>
        <v>0</v>
      </c>
      <c r="L45" s="373">
        <f t="shared" si="6"/>
        <v>0</v>
      </c>
      <c r="M45" s="1207">
        <f t="shared" si="6"/>
        <v>0</v>
      </c>
      <c r="N45" s="1328">
        <v>7.306923194516302</v>
      </c>
      <c r="O45" s="1290">
        <v>9.0375134565067832</v>
      </c>
      <c r="P45" s="1290">
        <v>9.6793914028521701</v>
      </c>
      <c r="Q45" s="1301">
        <v>17.637079526866863</v>
      </c>
      <c r="R45" s="1301">
        <v>11.377990201198699</v>
      </c>
      <c r="S45" s="1302">
        <v>9.0737881925093262</v>
      </c>
      <c r="T45" s="1292">
        <v>1</v>
      </c>
      <c r="U45" s="1293">
        <v>1</v>
      </c>
      <c r="V45" s="1293">
        <v>1</v>
      </c>
      <c r="W45" s="1293">
        <v>1</v>
      </c>
      <c r="X45" s="1293">
        <v>1</v>
      </c>
      <c r="Y45" s="1294">
        <v>17.738360632557701</v>
      </c>
      <c r="Z45" s="1292">
        <v>0</v>
      </c>
      <c r="AA45" s="1293">
        <v>0</v>
      </c>
      <c r="AB45" s="1293">
        <v>0</v>
      </c>
      <c r="AC45" s="1293">
        <v>289.49924582268346</v>
      </c>
      <c r="AD45" s="1293">
        <v>0</v>
      </c>
      <c r="AE45" s="1294">
        <v>117.0727180732794</v>
      </c>
    </row>
    <row r="46" spans="1:31" s="104" customFormat="1" x14ac:dyDescent="0.2">
      <c r="A46" s="3"/>
      <c r="B46" s="374">
        <v>2031</v>
      </c>
      <c r="C46" s="1268">
        <v>139576.09988215286</v>
      </c>
      <c r="D46" s="1269">
        <v>12921.503755816151</v>
      </c>
      <c r="E46" s="1269">
        <v>19513.282220564673</v>
      </c>
      <c r="F46" s="1269">
        <v>173858.51147439628</v>
      </c>
      <c r="G46" s="1269">
        <v>72823.542856282555</v>
      </c>
      <c r="H46" s="1270">
        <v>93119.592446592258</v>
      </c>
      <c r="I46" s="1200">
        <f t="shared" si="6"/>
        <v>0</v>
      </c>
      <c r="J46" s="375">
        <f t="shared" si="6"/>
        <v>0</v>
      </c>
      <c r="K46" s="375">
        <f t="shared" si="6"/>
        <v>0</v>
      </c>
      <c r="L46" s="375">
        <f t="shared" si="6"/>
        <v>0</v>
      </c>
      <c r="M46" s="1205">
        <f t="shared" si="6"/>
        <v>0</v>
      </c>
      <c r="N46" s="1329">
        <v>7.3125555989863509</v>
      </c>
      <c r="O46" s="1296">
        <v>9.3346782066082223</v>
      </c>
      <c r="P46" s="1296">
        <v>10.014244022934831</v>
      </c>
      <c r="Q46" s="1303">
        <v>18.09395695800756</v>
      </c>
      <c r="R46" s="1303">
        <v>11.659412264787072</v>
      </c>
      <c r="S46" s="1304">
        <v>9.3382260055650352</v>
      </c>
      <c r="T46" s="1298">
        <v>1</v>
      </c>
      <c r="U46" s="1299">
        <v>1</v>
      </c>
      <c r="V46" s="1299">
        <v>1</v>
      </c>
      <c r="W46" s="1299">
        <v>1</v>
      </c>
      <c r="X46" s="1299">
        <v>1</v>
      </c>
      <c r="Y46" s="1300">
        <v>18.17471850212906</v>
      </c>
      <c r="Z46" s="1298">
        <v>0</v>
      </c>
      <c r="AA46" s="1299">
        <v>0</v>
      </c>
      <c r="AB46" s="1299">
        <v>0</v>
      </c>
      <c r="AC46" s="1299">
        <v>291.75872462979925</v>
      </c>
      <c r="AD46" s="1299">
        <v>0</v>
      </c>
      <c r="AE46" s="1300">
        <v>118.17419341757807</v>
      </c>
    </row>
    <row r="47" spans="1:31" s="104" customFormat="1" x14ac:dyDescent="0.2">
      <c r="A47" s="3"/>
      <c r="B47" s="370">
        <v>2032</v>
      </c>
      <c r="C47" s="1262">
        <v>139629.10034424686</v>
      </c>
      <c r="D47" s="1269">
        <v>13239.265660602907</v>
      </c>
      <c r="E47" s="1269">
        <v>19730.534286384838</v>
      </c>
      <c r="F47" s="1269">
        <v>157790.85016980596</v>
      </c>
      <c r="G47" s="1269">
        <v>70921.970201426157</v>
      </c>
      <c r="H47" s="1270">
        <v>86630.261077982548</v>
      </c>
      <c r="I47" s="1201">
        <f t="shared" si="6"/>
        <v>0</v>
      </c>
      <c r="J47" s="376">
        <f t="shared" si="6"/>
        <v>0</v>
      </c>
      <c r="K47" s="371">
        <f t="shared" si="6"/>
        <v>0</v>
      </c>
      <c r="L47" s="376">
        <f t="shared" si="6"/>
        <v>0</v>
      </c>
      <c r="M47" s="1206">
        <f t="shared" si="6"/>
        <v>0</v>
      </c>
      <c r="N47" s="1329">
        <v>7.3181923450895683</v>
      </c>
      <c r="O47" s="1284">
        <v>9.550673713414314</v>
      </c>
      <c r="P47" s="1284">
        <v>10.257633123948372</v>
      </c>
      <c r="Q47" s="1305">
        <v>18.426040330122905</v>
      </c>
      <c r="R47" s="1305">
        <v>11.86396513059783</v>
      </c>
      <c r="S47" s="1306">
        <v>9.5304337941071289</v>
      </c>
      <c r="T47" s="1298">
        <v>1</v>
      </c>
      <c r="U47" s="1299">
        <v>1</v>
      </c>
      <c r="V47" s="1299">
        <v>1</v>
      </c>
      <c r="W47" s="1299">
        <v>1</v>
      </c>
      <c r="X47" s="1299">
        <v>1</v>
      </c>
      <c r="Y47" s="1300">
        <v>18.491887140585398</v>
      </c>
      <c r="Z47" s="1298">
        <v>0</v>
      </c>
      <c r="AA47" s="1299">
        <v>0</v>
      </c>
      <c r="AB47" s="1299">
        <v>0</v>
      </c>
      <c r="AC47" s="1299">
        <v>293.40103674755215</v>
      </c>
      <c r="AD47" s="1299">
        <v>0</v>
      </c>
      <c r="AE47" s="1300">
        <v>118.97480562055635</v>
      </c>
    </row>
    <row r="48" spans="1:31" s="104" customFormat="1" x14ac:dyDescent="0.2">
      <c r="A48" s="3"/>
      <c r="B48" s="370">
        <v>2033</v>
      </c>
      <c r="C48" s="1262">
        <v>139682.1416607514</v>
      </c>
      <c r="D48" s="1269">
        <v>13428.834049265399</v>
      </c>
      <c r="E48" s="1269">
        <v>19860.14115061472</v>
      </c>
      <c r="F48" s="1269">
        <v>148205.30634846626</v>
      </c>
      <c r="G48" s="1269">
        <v>69787.542006367061</v>
      </c>
      <c r="H48" s="1270">
        <v>82758.896787571983</v>
      </c>
      <c r="I48" s="1201">
        <f t="shared" si="6"/>
        <v>0</v>
      </c>
      <c r="J48" s="371">
        <f t="shared" si="6"/>
        <v>0</v>
      </c>
      <c r="K48" s="371">
        <f t="shared" si="6"/>
        <v>0</v>
      </c>
      <c r="L48" s="371">
        <f t="shared" si="6"/>
        <v>0</v>
      </c>
      <c r="M48" s="1206">
        <f t="shared" si="6"/>
        <v>0</v>
      </c>
      <c r="N48" s="1329">
        <v>7.3238334361726238</v>
      </c>
      <c r="O48" s="1284">
        <v>9.6795309476099831</v>
      </c>
      <c r="P48" s="1284">
        <v>10.402832655428119</v>
      </c>
      <c r="Q48" s="1305">
        <v>18.624152529241798</v>
      </c>
      <c r="R48" s="1305">
        <v>11.985995986354634</v>
      </c>
      <c r="S48" s="1306">
        <v>9.6450999016972041</v>
      </c>
      <c r="T48" s="1298">
        <v>1</v>
      </c>
      <c r="U48" s="1299">
        <v>1</v>
      </c>
      <c r="V48" s="1299">
        <v>1</v>
      </c>
      <c r="W48" s="1299">
        <v>1</v>
      </c>
      <c r="X48" s="1299">
        <v>1</v>
      </c>
      <c r="Y48" s="1300">
        <v>18.681101602170383</v>
      </c>
      <c r="Z48" s="1298">
        <v>0</v>
      </c>
      <c r="AA48" s="1299">
        <v>0</v>
      </c>
      <c r="AB48" s="1299">
        <v>0</v>
      </c>
      <c r="AC48" s="1299">
        <v>294.38079693010837</v>
      </c>
      <c r="AD48" s="1299">
        <v>0</v>
      </c>
      <c r="AE48" s="1300">
        <v>119.45242978813545</v>
      </c>
    </row>
    <row r="49" spans="1:31" s="104" customFormat="1" x14ac:dyDescent="0.2">
      <c r="A49" s="3"/>
      <c r="B49" s="370">
        <v>2034</v>
      </c>
      <c r="C49" s="1262">
        <v>139735.22386315826</v>
      </c>
      <c r="D49" s="1269">
        <v>13528.890175845856</v>
      </c>
      <c r="E49" s="1269">
        <v>19928.548973799676</v>
      </c>
      <c r="F49" s="1269">
        <v>143145.95867611744</v>
      </c>
      <c r="G49" s="1269">
        <v>69188.779249126164</v>
      </c>
      <c r="H49" s="1270">
        <v>80715.551279318286</v>
      </c>
      <c r="I49" s="1201">
        <f t="shared" si="6"/>
        <v>0</v>
      </c>
      <c r="J49" s="371">
        <f t="shared" si="6"/>
        <v>0</v>
      </c>
      <c r="K49" s="371">
        <f t="shared" si="6"/>
        <v>0</v>
      </c>
      <c r="L49" s="371">
        <f t="shared" si="6"/>
        <v>0</v>
      </c>
      <c r="M49" s="1206">
        <f t="shared" si="6"/>
        <v>0</v>
      </c>
      <c r="N49" s="1329">
        <v>7.3294788755847629</v>
      </c>
      <c r="O49" s="1284">
        <v>9.7475431084267541</v>
      </c>
      <c r="P49" s="1284">
        <v>10.479470447222754</v>
      </c>
      <c r="Q49" s="1305">
        <v>18.728718166012939</v>
      </c>
      <c r="R49" s="1305">
        <v>12.05040511509425</v>
      </c>
      <c r="S49" s="1306">
        <v>9.7056218413331834</v>
      </c>
      <c r="T49" s="1298">
        <v>1</v>
      </c>
      <c r="U49" s="1299">
        <v>1</v>
      </c>
      <c r="V49" s="1299">
        <v>1</v>
      </c>
      <c r="W49" s="1299">
        <v>1</v>
      </c>
      <c r="X49" s="1299">
        <v>1</v>
      </c>
      <c r="Y49" s="1300">
        <v>18.78097092243404</v>
      </c>
      <c r="Z49" s="1298">
        <v>0</v>
      </c>
      <c r="AA49" s="1299">
        <v>0</v>
      </c>
      <c r="AB49" s="1299">
        <v>0</v>
      </c>
      <c r="AC49" s="1299">
        <v>294.89792433481972</v>
      </c>
      <c r="AD49" s="1299">
        <v>0</v>
      </c>
      <c r="AE49" s="1300">
        <v>119.70452468911739</v>
      </c>
    </row>
    <row r="50" spans="1:31" s="104" customFormat="1" ht="13.5" thickBot="1" x14ac:dyDescent="0.25">
      <c r="A50" s="3"/>
      <c r="B50" s="377">
        <v>2035</v>
      </c>
      <c r="C50" s="1271">
        <v>139788.33333333334</v>
      </c>
      <c r="D50" s="1272">
        <v>13622.656480004633</v>
      </c>
      <c r="E50" s="1272">
        <v>19992.656480004633</v>
      </c>
      <c r="F50" s="1272">
        <v>138404.6564800046</v>
      </c>
      <c r="G50" s="1272">
        <v>68627.656480004633</v>
      </c>
      <c r="H50" s="1273">
        <v>78800.656480004633</v>
      </c>
      <c r="I50" s="1203">
        <f t="shared" si="6"/>
        <v>0</v>
      </c>
      <c r="J50" s="378">
        <f t="shared" si="6"/>
        <v>0</v>
      </c>
      <c r="K50" s="378">
        <f t="shared" si="6"/>
        <v>0</v>
      </c>
      <c r="L50" s="378">
        <f t="shared" si="6"/>
        <v>0</v>
      </c>
      <c r="M50" s="1208">
        <f t="shared" si="6"/>
        <v>0</v>
      </c>
      <c r="N50" s="1330">
        <v>7.3351272149996589</v>
      </c>
      <c r="O50" s="1290">
        <v>9.8112798247637887</v>
      </c>
      <c r="P50" s="1290">
        <v>10.551290562002974</v>
      </c>
      <c r="Q50" s="1301">
        <v>18.826710499287554</v>
      </c>
      <c r="R50" s="1301">
        <v>12.11076529654845</v>
      </c>
      <c r="S50" s="1302">
        <v>9.7623391938245678</v>
      </c>
      <c r="T50" s="1308">
        <v>1</v>
      </c>
      <c r="U50" s="1309">
        <v>1</v>
      </c>
      <c r="V50" s="1309">
        <v>1</v>
      </c>
      <c r="W50" s="1309">
        <v>1</v>
      </c>
      <c r="X50" s="1309">
        <v>1</v>
      </c>
      <c r="Y50" s="1310">
        <v>18.874562163470564</v>
      </c>
      <c r="Z50" s="1308">
        <v>0</v>
      </c>
      <c r="AA50" s="1309">
        <v>0</v>
      </c>
      <c r="AB50" s="1309">
        <v>0</v>
      </c>
      <c r="AC50" s="1309">
        <v>295.38254358979367</v>
      </c>
      <c r="AD50" s="1309">
        <v>0</v>
      </c>
      <c r="AE50" s="1310">
        <v>119.94077216311233</v>
      </c>
    </row>
    <row r="51" spans="1:31" s="104" customFormat="1" x14ac:dyDescent="0.2">
      <c r="A51" s="3"/>
      <c r="B51" s="379">
        <v>2036</v>
      </c>
      <c r="C51" s="1259">
        <v>139788.33333333334</v>
      </c>
      <c r="D51" s="1260">
        <v>13820.761750895386</v>
      </c>
      <c r="E51" s="1260">
        <v>20106.962888807815</v>
      </c>
      <c r="F51" s="1260">
        <v>134314.57427902712</v>
      </c>
      <c r="G51" s="1260">
        <v>67243.922919025877</v>
      </c>
      <c r="H51" s="1261">
        <v>77080.4583565059</v>
      </c>
      <c r="I51" s="1204">
        <f t="shared" si="6"/>
        <v>0</v>
      </c>
      <c r="J51" s="380">
        <f t="shared" si="6"/>
        <v>0</v>
      </c>
      <c r="K51" s="380">
        <f t="shared" si="6"/>
        <v>0</v>
      </c>
      <c r="L51" s="380">
        <f t="shared" si="6"/>
        <v>0</v>
      </c>
      <c r="M51" s="1209">
        <f t="shared" si="6"/>
        <v>0</v>
      </c>
      <c r="N51" s="1326">
        <v>7.3355433916329638</v>
      </c>
      <c r="O51" s="1278">
        <v>9.9011783319216775</v>
      </c>
      <c r="P51" s="1278">
        <v>10.700057377334481</v>
      </c>
      <c r="Q51" s="1311">
        <v>19.089479179322524</v>
      </c>
      <c r="R51" s="1311">
        <v>12.302725891947524</v>
      </c>
      <c r="S51" s="1312">
        <v>9.9176822546996171</v>
      </c>
      <c r="T51" s="1280">
        <v>1</v>
      </c>
      <c r="U51" s="1281">
        <v>1</v>
      </c>
      <c r="V51" s="1281">
        <v>1</v>
      </c>
      <c r="W51" s="1281">
        <v>1</v>
      </c>
      <c r="X51" s="1281">
        <v>1</v>
      </c>
      <c r="Y51" s="1282">
        <v>19.122552388538075</v>
      </c>
      <c r="Z51" s="1280">
        <v>0</v>
      </c>
      <c r="AA51" s="1281">
        <v>0</v>
      </c>
      <c r="AB51" s="1281">
        <v>0</v>
      </c>
      <c r="AC51" s="1281">
        <v>296.39878636082199</v>
      </c>
      <c r="AD51" s="1281">
        <v>0</v>
      </c>
      <c r="AE51" s="1282">
        <v>121.93876251792365</v>
      </c>
    </row>
    <row r="52" spans="1:31" s="104" customFormat="1" x14ac:dyDescent="0.2">
      <c r="A52" s="3"/>
      <c r="B52" s="370">
        <v>2037</v>
      </c>
      <c r="C52" s="1262">
        <v>139788.33333333334</v>
      </c>
      <c r="D52" s="1263">
        <v>13941.554811920105</v>
      </c>
      <c r="E52" s="1263">
        <v>20176.660282279459</v>
      </c>
      <c r="F52" s="1263">
        <v>131820.68026662976</v>
      </c>
      <c r="G52" s="1263">
        <v>66400.202750846016</v>
      </c>
      <c r="H52" s="1264">
        <v>76031.581686177509</v>
      </c>
      <c r="I52" s="1201">
        <f t="shared" si="6"/>
        <v>0</v>
      </c>
      <c r="J52" s="371">
        <f t="shared" si="6"/>
        <v>0</v>
      </c>
      <c r="K52" s="371">
        <f t="shared" si="6"/>
        <v>0</v>
      </c>
      <c r="L52" s="371">
        <f t="shared" si="6"/>
        <v>0</v>
      </c>
      <c r="M52" s="1206">
        <f t="shared" si="6"/>
        <v>0</v>
      </c>
      <c r="N52" s="1327">
        <v>7.3359595682662686</v>
      </c>
      <c r="O52" s="1284">
        <v>9.9559932079334441</v>
      </c>
      <c r="P52" s="1284">
        <v>10.790766720513449</v>
      </c>
      <c r="Q52" s="1305">
        <v>19.249700222710882</v>
      </c>
      <c r="R52" s="1305">
        <v>12.419772287584161</v>
      </c>
      <c r="S52" s="1306">
        <v>10.012401409559432</v>
      </c>
      <c r="T52" s="1286">
        <v>1</v>
      </c>
      <c r="U52" s="1287">
        <v>1</v>
      </c>
      <c r="V52" s="1287">
        <v>1</v>
      </c>
      <c r="W52" s="1287">
        <v>1</v>
      </c>
      <c r="X52" s="1287">
        <v>1</v>
      </c>
      <c r="Y52" s="1288">
        <v>19.273762390449804</v>
      </c>
      <c r="Z52" s="1286">
        <v>0</v>
      </c>
      <c r="AA52" s="1287">
        <v>0</v>
      </c>
      <c r="AB52" s="1287">
        <v>0</v>
      </c>
      <c r="AC52" s="1287">
        <v>297.01843203963102</v>
      </c>
      <c r="AD52" s="1287">
        <v>0</v>
      </c>
      <c r="AE52" s="1288">
        <v>123.15702071857808</v>
      </c>
    </row>
    <row r="53" spans="1:31" s="104" customFormat="1" x14ac:dyDescent="0.2">
      <c r="A53" s="3"/>
      <c r="B53" s="370">
        <v>2038</v>
      </c>
      <c r="C53" s="1262">
        <v>139788.33333333334</v>
      </c>
      <c r="D53" s="1263">
        <v>14128.705414623266</v>
      </c>
      <c r="E53" s="1263">
        <v>20284.645865924766</v>
      </c>
      <c r="F53" s="1263">
        <v>127956.7681880837</v>
      </c>
      <c r="G53" s="1263">
        <v>65092.985791128805</v>
      </c>
      <c r="H53" s="1264">
        <v>74406.505714528248</v>
      </c>
      <c r="I53" s="1201">
        <f t="shared" si="6"/>
        <v>0</v>
      </c>
      <c r="J53" s="371">
        <f t="shared" si="6"/>
        <v>0</v>
      </c>
      <c r="K53" s="371">
        <f t="shared" si="6"/>
        <v>0</v>
      </c>
      <c r="L53" s="371">
        <f t="shared" si="6"/>
        <v>0</v>
      </c>
      <c r="M53" s="1206">
        <f t="shared" si="6"/>
        <v>0</v>
      </c>
      <c r="N53" s="1327">
        <v>7.3363757448995734</v>
      </c>
      <c r="O53" s="1284">
        <v>10.040920578725064</v>
      </c>
      <c r="P53" s="1284">
        <v>10.931307146451308</v>
      </c>
      <c r="Q53" s="1305">
        <v>19.497938528632478</v>
      </c>
      <c r="R53" s="1305">
        <v>12.601117998188728</v>
      </c>
      <c r="S53" s="1306">
        <v>10.159154433029219</v>
      </c>
      <c r="T53" s="1286">
        <v>1</v>
      </c>
      <c r="U53" s="1287">
        <v>1</v>
      </c>
      <c r="V53" s="1287">
        <v>1</v>
      </c>
      <c r="W53" s="1287">
        <v>1</v>
      </c>
      <c r="X53" s="1287">
        <v>1</v>
      </c>
      <c r="Y53" s="1288">
        <v>19.508039448688557</v>
      </c>
      <c r="Z53" s="1286">
        <v>0</v>
      </c>
      <c r="AA53" s="1287">
        <v>0</v>
      </c>
      <c r="AB53" s="1287">
        <v>0</v>
      </c>
      <c r="AC53" s="1287">
        <v>297.97847942370879</v>
      </c>
      <c r="AD53" s="1287">
        <v>0</v>
      </c>
      <c r="AE53" s="1288">
        <v>125.0445277870005</v>
      </c>
    </row>
    <row r="54" spans="1:31" s="104" customFormat="1" x14ac:dyDescent="0.2">
      <c r="A54" s="3"/>
      <c r="B54" s="370">
        <v>2039</v>
      </c>
      <c r="C54" s="1262">
        <v>139788.33333333334</v>
      </c>
      <c r="D54" s="1263">
        <v>14408.388491363934</v>
      </c>
      <c r="E54" s="1263">
        <v>20446.02253178279</v>
      </c>
      <c r="F54" s="1263">
        <v>122182.43028708745</v>
      </c>
      <c r="G54" s="1263">
        <v>63139.444333177009</v>
      </c>
      <c r="H54" s="1264">
        <v>71977.946890119347</v>
      </c>
      <c r="I54" s="1201">
        <f t="shared" si="6"/>
        <v>0</v>
      </c>
      <c r="J54" s="371">
        <f t="shared" si="6"/>
        <v>0</v>
      </c>
      <c r="K54" s="371">
        <f t="shared" si="6"/>
        <v>0</v>
      </c>
      <c r="L54" s="371">
        <f t="shared" si="6"/>
        <v>0</v>
      </c>
      <c r="M54" s="1206">
        <f t="shared" si="6"/>
        <v>0</v>
      </c>
      <c r="N54" s="1327">
        <v>7.3367919215328783</v>
      </c>
      <c r="O54" s="1284">
        <v>10.167838408640739</v>
      </c>
      <c r="P54" s="1284">
        <v>11.141334675965002</v>
      </c>
      <c r="Q54" s="1305">
        <v>19.86891277163377</v>
      </c>
      <c r="R54" s="1305">
        <v>12.872126082389526</v>
      </c>
      <c r="S54" s="1306">
        <v>10.378466241445492</v>
      </c>
      <c r="T54" s="1286">
        <v>1</v>
      </c>
      <c r="U54" s="1287">
        <v>1</v>
      </c>
      <c r="V54" s="1287">
        <v>1</v>
      </c>
      <c r="W54" s="1287">
        <v>1</v>
      </c>
      <c r="X54" s="1287">
        <v>1</v>
      </c>
      <c r="Y54" s="1288">
        <v>19.858149614039686</v>
      </c>
      <c r="Z54" s="1286">
        <v>0</v>
      </c>
      <c r="AA54" s="1287">
        <v>0</v>
      </c>
      <c r="AB54" s="1287">
        <v>0</v>
      </c>
      <c r="AC54" s="1287">
        <v>299.41320099188653</v>
      </c>
      <c r="AD54" s="1287">
        <v>0</v>
      </c>
      <c r="AE54" s="1288">
        <v>127.86527095662552</v>
      </c>
    </row>
    <row r="55" spans="1:31" s="104" customFormat="1" ht="13.5" thickBot="1" x14ac:dyDescent="0.25">
      <c r="A55" s="3"/>
      <c r="B55" s="372">
        <v>2040</v>
      </c>
      <c r="C55" s="1265">
        <v>139788.33333333334</v>
      </c>
      <c r="D55" s="1266">
        <v>14804.594607410123</v>
      </c>
      <c r="E55" s="1266">
        <v>20674.632795747311</v>
      </c>
      <c r="F55" s="1266">
        <v>114002.35725888099</v>
      </c>
      <c r="G55" s="1266">
        <v>60372.008124271204</v>
      </c>
      <c r="H55" s="1267">
        <v>68537.589072899849</v>
      </c>
      <c r="I55" s="1202">
        <f t="shared" si="6"/>
        <v>0</v>
      </c>
      <c r="J55" s="373">
        <f t="shared" si="6"/>
        <v>0</v>
      </c>
      <c r="K55" s="373">
        <f t="shared" si="6"/>
        <v>0</v>
      </c>
      <c r="L55" s="373">
        <f t="shared" si="6"/>
        <v>0</v>
      </c>
      <c r="M55" s="1207">
        <f t="shared" si="6"/>
        <v>0</v>
      </c>
      <c r="N55" s="1328">
        <v>7.3372080981661831</v>
      </c>
      <c r="O55" s="1290">
        <v>10.347633414595022</v>
      </c>
      <c r="P55" s="1290">
        <v>11.43886498312963</v>
      </c>
      <c r="Q55" s="1301">
        <v>20.394444261367099</v>
      </c>
      <c r="R55" s="1301">
        <v>13.256042984726383</v>
      </c>
      <c r="S55" s="1302">
        <v>10.689148892781771</v>
      </c>
      <c r="T55" s="1292">
        <v>1</v>
      </c>
      <c r="U55" s="1293">
        <v>1</v>
      </c>
      <c r="V55" s="1293">
        <v>1</v>
      </c>
      <c r="W55" s="1293">
        <v>1</v>
      </c>
      <c r="X55" s="1293">
        <v>1</v>
      </c>
      <c r="Y55" s="1294">
        <v>20.354124523993512</v>
      </c>
      <c r="Z55" s="1292">
        <v>0</v>
      </c>
      <c r="AA55" s="1293">
        <v>0</v>
      </c>
      <c r="AB55" s="1293">
        <v>0</v>
      </c>
      <c r="AC55" s="1293">
        <v>301.44566383075357</v>
      </c>
      <c r="AD55" s="1293">
        <v>0</v>
      </c>
      <c r="AE55" s="1294">
        <v>131.86120703050258</v>
      </c>
    </row>
    <row r="56" spans="1:31" s="104" customFormat="1" x14ac:dyDescent="0.2">
      <c r="A56" s="3"/>
      <c r="B56" s="379">
        <v>2041</v>
      </c>
      <c r="C56" s="1259">
        <v>139788.33333333334</v>
      </c>
      <c r="D56" s="1260">
        <v>15325.353790965348</v>
      </c>
      <c r="E56" s="1260">
        <v>20975.109970614103</v>
      </c>
      <c r="F56" s="1260">
        <v>103250.76110963285</v>
      </c>
      <c r="G56" s="1260">
        <v>56734.588704620153</v>
      </c>
      <c r="H56" s="1261">
        <v>64015.705498987161</v>
      </c>
      <c r="I56" s="1204">
        <f t="shared" si="6"/>
        <v>0</v>
      </c>
      <c r="J56" s="380">
        <f t="shared" si="6"/>
        <v>0</v>
      </c>
      <c r="K56" s="380">
        <f t="shared" si="6"/>
        <v>0</v>
      </c>
      <c r="L56" s="380">
        <f t="shared" si="6"/>
        <v>0</v>
      </c>
      <c r="M56" s="1209">
        <f t="shared" si="6"/>
        <v>0</v>
      </c>
      <c r="N56" s="1326">
        <v>7.337624274799488</v>
      </c>
      <c r="O56" s="1296">
        <v>10.583949555906539</v>
      </c>
      <c r="P56" s="1296">
        <v>11.82992820393039</v>
      </c>
      <c r="Q56" s="1296">
        <v>21.085184102178076</v>
      </c>
      <c r="R56" s="1296">
        <v>13.760649664222166</v>
      </c>
      <c r="S56" s="1297">
        <v>11.097499085527881</v>
      </c>
      <c r="T56" s="1280">
        <v>1</v>
      </c>
      <c r="U56" s="1281">
        <v>1</v>
      </c>
      <c r="V56" s="1281">
        <v>1</v>
      </c>
      <c r="W56" s="1281">
        <v>1</v>
      </c>
      <c r="X56" s="1281">
        <v>1</v>
      </c>
      <c r="Y56" s="1282">
        <v>21.006016250827216</v>
      </c>
      <c r="Z56" s="1280">
        <v>0</v>
      </c>
      <c r="AA56" s="1281">
        <v>0</v>
      </c>
      <c r="AB56" s="1281">
        <v>0</v>
      </c>
      <c r="AC56" s="1281">
        <v>304.11706047434132</v>
      </c>
      <c r="AD56" s="1281">
        <v>0</v>
      </c>
      <c r="AE56" s="1282">
        <v>137.11332284369828</v>
      </c>
    </row>
    <row r="57" spans="1:31" s="104" customFormat="1" x14ac:dyDescent="0.2">
      <c r="A57" s="3"/>
      <c r="B57" s="370">
        <v>2042</v>
      </c>
      <c r="C57" s="1262">
        <v>139788.33333333334</v>
      </c>
      <c r="D57" s="1263">
        <v>15946.320440910762</v>
      </c>
      <c r="E57" s="1263">
        <v>21333.406685399375</v>
      </c>
      <c r="F57" s="1263">
        <v>90430.281215672963</v>
      </c>
      <c r="G57" s="1263">
        <v>52397.236195449113</v>
      </c>
      <c r="H57" s="1264">
        <v>58623.695174433698</v>
      </c>
      <c r="I57" s="1201">
        <f t="shared" si="6"/>
        <v>0</v>
      </c>
      <c r="J57" s="371">
        <f t="shared" si="6"/>
        <v>0</v>
      </c>
      <c r="K57" s="371">
        <f t="shared" si="6"/>
        <v>0</v>
      </c>
      <c r="L57" s="371">
        <f t="shared" si="6"/>
        <v>0</v>
      </c>
      <c r="M57" s="1206">
        <f t="shared" si="6"/>
        <v>0</v>
      </c>
      <c r="N57" s="1327">
        <v>7.3380404514327937</v>
      </c>
      <c r="O57" s="1284">
        <v>10.865739003375166</v>
      </c>
      <c r="P57" s="1284">
        <v>12.296242050725494</v>
      </c>
      <c r="Q57" s="1284">
        <v>21.90884006154867</v>
      </c>
      <c r="R57" s="1284">
        <v>14.362355652712619</v>
      </c>
      <c r="S57" s="1285">
        <v>11.584426362475709</v>
      </c>
      <c r="T57" s="1286">
        <v>1</v>
      </c>
      <c r="U57" s="1287">
        <v>1</v>
      </c>
      <c r="V57" s="1287">
        <v>1</v>
      </c>
      <c r="W57" s="1287">
        <v>1</v>
      </c>
      <c r="X57" s="1287">
        <v>1</v>
      </c>
      <c r="Y57" s="1288">
        <v>21.783348719503948</v>
      </c>
      <c r="Z57" s="1286">
        <v>0</v>
      </c>
      <c r="AA57" s="1287">
        <v>0</v>
      </c>
      <c r="AB57" s="1287">
        <v>0</v>
      </c>
      <c r="AC57" s="1287">
        <v>307.30250256893697</v>
      </c>
      <c r="AD57" s="1287">
        <v>0</v>
      </c>
      <c r="AE57" s="1288">
        <v>143.37608087972558</v>
      </c>
    </row>
    <row r="58" spans="1:31" s="104" customFormat="1" x14ac:dyDescent="0.2">
      <c r="A58" s="3"/>
      <c r="B58" s="370">
        <v>2043</v>
      </c>
      <c r="C58" s="1262">
        <v>139788.33333333334</v>
      </c>
      <c r="D58" s="1263">
        <v>16606.300065649411</v>
      </c>
      <c r="E58" s="1263">
        <v>21714.213821160796</v>
      </c>
      <c r="F58" s="1263">
        <v>76804.339290887146</v>
      </c>
      <c r="G58" s="1263">
        <v>47787.384311111047</v>
      </c>
      <c r="H58" s="1264">
        <v>52892.92533212647</v>
      </c>
      <c r="I58" s="1201">
        <f t="shared" si="6"/>
        <v>0</v>
      </c>
      <c r="J58" s="371">
        <f t="shared" si="6"/>
        <v>0</v>
      </c>
      <c r="K58" s="371">
        <f t="shared" si="6"/>
        <v>0</v>
      </c>
      <c r="L58" s="371">
        <f t="shared" si="6"/>
        <v>0</v>
      </c>
      <c r="M58" s="1206">
        <f t="shared" si="6"/>
        <v>0</v>
      </c>
      <c r="N58" s="1327">
        <v>7.3384566280660994</v>
      </c>
      <c r="O58" s="1284">
        <v>11.165232210960475</v>
      </c>
      <c r="P58" s="1284">
        <v>12.791852624409804</v>
      </c>
      <c r="Q58" s="1284">
        <v>22.784243194755486</v>
      </c>
      <c r="R58" s="1284">
        <v>15.00186454183225</v>
      </c>
      <c r="S58" s="1285">
        <v>12.101945429793236</v>
      </c>
      <c r="T58" s="1286">
        <v>1</v>
      </c>
      <c r="U58" s="1287">
        <v>1</v>
      </c>
      <c r="V58" s="1287">
        <v>1</v>
      </c>
      <c r="W58" s="1287">
        <v>1</v>
      </c>
      <c r="X58" s="1287">
        <v>1</v>
      </c>
      <c r="Y58" s="1288">
        <v>22.609518033137029</v>
      </c>
      <c r="Z58" s="1286">
        <v>0</v>
      </c>
      <c r="AA58" s="1287">
        <v>0</v>
      </c>
      <c r="AB58" s="1287">
        <v>0</v>
      </c>
      <c r="AC58" s="1287">
        <v>310.68807388488898</v>
      </c>
      <c r="AD58" s="1287">
        <v>0</v>
      </c>
      <c r="AE58" s="1288">
        <v>150.03230420316751</v>
      </c>
    </row>
    <row r="59" spans="1:31" s="104" customFormat="1" x14ac:dyDescent="0.2">
      <c r="A59" s="3"/>
      <c r="B59" s="370">
        <v>2044</v>
      </c>
      <c r="C59" s="1262">
        <v>139788.33333333334</v>
      </c>
      <c r="D59" s="1263">
        <v>17227.266715594826</v>
      </c>
      <c r="E59" s="1263">
        <v>22072.510535946065</v>
      </c>
      <c r="F59" s="1263">
        <v>63983.859396927277</v>
      </c>
      <c r="G59" s="1263">
        <v>43450.031801940015</v>
      </c>
      <c r="H59" s="1264">
        <v>47500.915007573014</v>
      </c>
      <c r="I59" s="1201">
        <f t="shared" si="6"/>
        <v>0</v>
      </c>
      <c r="J59" s="371">
        <f t="shared" si="6"/>
        <v>0</v>
      </c>
      <c r="K59" s="371">
        <f t="shared" si="6"/>
        <v>0</v>
      </c>
      <c r="L59" s="371">
        <f t="shared" si="6"/>
        <v>0</v>
      </c>
      <c r="M59" s="1206">
        <f t="shared" si="6"/>
        <v>0</v>
      </c>
      <c r="N59" s="1327">
        <v>7.3388728046994043</v>
      </c>
      <c r="O59" s="1284">
        <v>11.447021658429103</v>
      </c>
      <c r="P59" s="1284">
        <v>13.258166471204905</v>
      </c>
      <c r="Q59" s="1284">
        <v>23.607899154126081</v>
      </c>
      <c r="R59" s="1284">
        <v>15.603570530322701</v>
      </c>
      <c r="S59" s="1285">
        <v>12.588872706741062</v>
      </c>
      <c r="T59" s="1286">
        <v>1</v>
      </c>
      <c r="U59" s="1287">
        <v>1</v>
      </c>
      <c r="V59" s="1287">
        <v>1</v>
      </c>
      <c r="W59" s="1287">
        <v>1</v>
      </c>
      <c r="X59" s="1287">
        <v>1</v>
      </c>
      <c r="Y59" s="1288">
        <v>23.386850501813758</v>
      </c>
      <c r="Z59" s="1286">
        <v>0</v>
      </c>
      <c r="AA59" s="1287">
        <v>0</v>
      </c>
      <c r="AB59" s="1287">
        <v>0</v>
      </c>
      <c r="AC59" s="1287">
        <v>313.87351597948464</v>
      </c>
      <c r="AD59" s="1287">
        <v>0</v>
      </c>
      <c r="AE59" s="1288">
        <v>156.29506223919481</v>
      </c>
    </row>
    <row r="60" spans="1:31" s="104" customFormat="1" ht="13.5" thickBot="1" x14ac:dyDescent="0.25">
      <c r="A60" s="3"/>
      <c r="B60" s="372">
        <v>2045</v>
      </c>
      <c r="C60" s="1265">
        <v>139788.33333333334</v>
      </c>
      <c r="D60" s="1266">
        <v>17748.025899150045</v>
      </c>
      <c r="E60" s="1266">
        <v>22372.98771081286</v>
      </c>
      <c r="F60" s="1266">
        <v>53232.263247679177</v>
      </c>
      <c r="G60" s="1266">
        <v>39812.612382288979</v>
      </c>
      <c r="H60" s="1267">
        <v>42979.031433660341</v>
      </c>
      <c r="I60" s="1202">
        <f t="shared" si="6"/>
        <v>0</v>
      </c>
      <c r="J60" s="373">
        <f t="shared" si="6"/>
        <v>0</v>
      </c>
      <c r="K60" s="373">
        <f t="shared" si="6"/>
        <v>0</v>
      </c>
      <c r="L60" s="373">
        <f t="shared" si="6"/>
        <v>0</v>
      </c>
      <c r="M60" s="1207">
        <f t="shared" si="6"/>
        <v>0</v>
      </c>
      <c r="N60" s="1328">
        <v>7.3392889813327091</v>
      </c>
      <c r="O60" s="1290">
        <v>11.683337799740618</v>
      </c>
      <c r="P60" s="1290">
        <v>13.649229692005665</v>
      </c>
      <c r="Q60" s="1290">
        <v>24.298638994937054</v>
      </c>
      <c r="R60" s="1290">
        <v>16.108177209818482</v>
      </c>
      <c r="S60" s="1291">
        <v>12.99722289948717</v>
      </c>
      <c r="T60" s="1292">
        <v>1</v>
      </c>
      <c r="U60" s="1293">
        <v>1</v>
      </c>
      <c r="V60" s="1293">
        <v>1</v>
      </c>
      <c r="W60" s="1293">
        <v>1</v>
      </c>
      <c r="X60" s="1293">
        <v>1</v>
      </c>
      <c r="Y60" s="1294">
        <v>24.038742228647465</v>
      </c>
      <c r="Z60" s="1292">
        <v>0</v>
      </c>
      <c r="AA60" s="1293">
        <v>0</v>
      </c>
      <c r="AB60" s="1293">
        <v>0</v>
      </c>
      <c r="AC60" s="1293">
        <v>316.54491262307238</v>
      </c>
      <c r="AD60" s="1293">
        <v>0</v>
      </c>
      <c r="AE60" s="1294">
        <v>161.54717805239051</v>
      </c>
    </row>
    <row r="61" spans="1:31" s="104" customFormat="1" x14ac:dyDescent="0.2">
      <c r="A61" s="3"/>
      <c r="B61" s="379">
        <v>2046</v>
      </c>
      <c r="C61" s="1259">
        <v>139788.33333333334</v>
      </c>
      <c r="D61" s="1260">
        <v>18144.232015196238</v>
      </c>
      <c r="E61" s="1260">
        <v>22601.597974777378</v>
      </c>
      <c r="F61" s="1260">
        <v>45052.190219472715</v>
      </c>
      <c r="G61" s="1260">
        <v>37045.176173383181</v>
      </c>
      <c r="H61" s="1261">
        <v>39538.67361644085</v>
      </c>
      <c r="I61" s="1204">
        <f t="shared" si="6"/>
        <v>0</v>
      </c>
      <c r="J61" s="380">
        <f t="shared" si="6"/>
        <v>0</v>
      </c>
      <c r="K61" s="380">
        <f t="shared" si="6"/>
        <v>0</v>
      </c>
      <c r="L61" s="380">
        <f t="shared" si="6"/>
        <v>0</v>
      </c>
      <c r="M61" s="1209">
        <f t="shared" si="6"/>
        <v>0</v>
      </c>
      <c r="N61" s="1326">
        <v>7.3397051579660149</v>
      </c>
      <c r="O61" s="1278">
        <v>11.863132805694903</v>
      </c>
      <c r="P61" s="1278">
        <v>13.946759999170292</v>
      </c>
      <c r="Q61" s="1278">
        <v>24.824170484670383</v>
      </c>
      <c r="R61" s="1278">
        <v>16.492094112155339</v>
      </c>
      <c r="S61" s="1279">
        <v>13.307905550823449</v>
      </c>
      <c r="T61" s="1280">
        <v>1</v>
      </c>
      <c r="U61" s="1281">
        <v>1</v>
      </c>
      <c r="V61" s="1281">
        <v>1</v>
      </c>
      <c r="W61" s="1281">
        <v>1</v>
      </c>
      <c r="X61" s="1281">
        <v>1</v>
      </c>
      <c r="Y61" s="1282">
        <v>24.534717138601295</v>
      </c>
      <c r="Z61" s="1280">
        <v>0</v>
      </c>
      <c r="AA61" s="1281">
        <v>0</v>
      </c>
      <c r="AB61" s="1281">
        <v>0</v>
      </c>
      <c r="AC61" s="1281">
        <v>318.57737546193943</v>
      </c>
      <c r="AD61" s="1281">
        <v>0</v>
      </c>
      <c r="AE61" s="1282">
        <v>165.54311412626757</v>
      </c>
    </row>
    <row r="62" spans="1:31" s="104" customFormat="1" x14ac:dyDescent="0.2">
      <c r="A62" s="3"/>
      <c r="B62" s="370">
        <v>2047</v>
      </c>
      <c r="C62" s="1262">
        <v>139788.33333333334</v>
      </c>
      <c r="D62" s="1263">
        <v>18423.915091936906</v>
      </c>
      <c r="E62" s="1263">
        <v>22762.974640635402</v>
      </c>
      <c r="F62" s="1263">
        <v>39277.852318476289</v>
      </c>
      <c r="G62" s="1263">
        <v>35091.634715431377</v>
      </c>
      <c r="H62" s="1264">
        <v>37110.114792031934</v>
      </c>
      <c r="I62" s="1201">
        <f t="shared" si="6"/>
        <v>0</v>
      </c>
      <c r="J62" s="371">
        <f t="shared" si="6"/>
        <v>0</v>
      </c>
      <c r="K62" s="371">
        <f t="shared" si="6"/>
        <v>0</v>
      </c>
      <c r="L62" s="371">
        <f t="shared" si="6"/>
        <v>0</v>
      </c>
      <c r="M62" s="1206">
        <f t="shared" si="6"/>
        <v>0</v>
      </c>
      <c r="N62" s="1327">
        <v>7.3401213345993206</v>
      </c>
      <c r="O62" s="1284">
        <v>11.990050635610578</v>
      </c>
      <c r="P62" s="1284">
        <v>14.156787528683989</v>
      </c>
      <c r="Q62" s="1284">
        <v>25.195144727671686</v>
      </c>
      <c r="R62" s="1284">
        <v>16.763102196356137</v>
      </c>
      <c r="S62" s="1285">
        <v>13.527217359239724</v>
      </c>
      <c r="T62" s="1286">
        <v>1</v>
      </c>
      <c r="U62" s="1287">
        <v>1</v>
      </c>
      <c r="V62" s="1287">
        <v>1</v>
      </c>
      <c r="W62" s="1287">
        <v>1</v>
      </c>
      <c r="X62" s="1287">
        <v>1</v>
      </c>
      <c r="Y62" s="1288">
        <v>24.88482730395242</v>
      </c>
      <c r="Z62" s="1286">
        <v>0</v>
      </c>
      <c r="AA62" s="1287">
        <v>0</v>
      </c>
      <c r="AB62" s="1287">
        <v>0</v>
      </c>
      <c r="AC62" s="1287">
        <v>320.01209703011716</v>
      </c>
      <c r="AD62" s="1287">
        <v>0</v>
      </c>
      <c r="AE62" s="1288">
        <v>168.36385729589261</v>
      </c>
    </row>
    <row r="63" spans="1:31" s="104" customFormat="1" x14ac:dyDescent="0.2">
      <c r="A63" s="3"/>
      <c r="B63" s="370">
        <v>2048</v>
      </c>
      <c r="C63" s="1262">
        <v>139788.33333333334</v>
      </c>
      <c r="D63" s="1263">
        <v>18611.065694640063</v>
      </c>
      <c r="E63" s="1263">
        <v>22870.960224280709</v>
      </c>
      <c r="F63" s="1263">
        <v>35413.940239930394</v>
      </c>
      <c r="G63" s="1263">
        <v>33784.417755714145</v>
      </c>
      <c r="H63" s="1264">
        <v>35485.038820382702</v>
      </c>
      <c r="I63" s="1201">
        <f t="shared" si="6"/>
        <v>0</v>
      </c>
      <c r="J63" s="371">
        <f t="shared" si="6"/>
        <v>0</v>
      </c>
      <c r="K63" s="371">
        <f t="shared" si="6"/>
        <v>0</v>
      </c>
      <c r="L63" s="371">
        <f t="shared" si="6"/>
        <v>0</v>
      </c>
      <c r="M63" s="1206">
        <f t="shared" si="6"/>
        <v>0</v>
      </c>
      <c r="N63" s="1327">
        <v>7.3405375112326254</v>
      </c>
      <c r="O63" s="1284">
        <v>12.074978006402196</v>
      </c>
      <c r="P63" s="1284">
        <v>14.297327954621846</v>
      </c>
      <c r="Q63" s="1284">
        <v>25.443383033593271</v>
      </c>
      <c r="R63" s="1284">
        <v>16.944447906960708</v>
      </c>
      <c r="S63" s="1285">
        <v>13.673970382709507</v>
      </c>
      <c r="T63" s="1286">
        <v>1</v>
      </c>
      <c r="U63" s="1287">
        <v>1</v>
      </c>
      <c r="V63" s="1287">
        <v>1</v>
      </c>
      <c r="W63" s="1287">
        <v>1</v>
      </c>
      <c r="X63" s="1287">
        <v>1</v>
      </c>
      <c r="Y63" s="1288">
        <v>25.119104362191173</v>
      </c>
      <c r="Z63" s="1286">
        <v>0</v>
      </c>
      <c r="AA63" s="1287">
        <v>0</v>
      </c>
      <c r="AB63" s="1287">
        <v>0</v>
      </c>
      <c r="AC63" s="1287">
        <v>320.97214441419493</v>
      </c>
      <c r="AD63" s="1287">
        <v>0</v>
      </c>
      <c r="AE63" s="1288">
        <v>170.25136436431501</v>
      </c>
    </row>
    <row r="64" spans="1:31" s="104" customFormat="1" x14ac:dyDescent="0.2">
      <c r="A64" s="3"/>
      <c r="B64" s="370">
        <v>2049</v>
      </c>
      <c r="C64" s="1262">
        <v>139788.33333333334</v>
      </c>
      <c r="D64" s="1263">
        <v>18731.858755664784</v>
      </c>
      <c r="E64" s="1263">
        <v>22940.657617752353</v>
      </c>
      <c r="F64" s="1263">
        <v>32920.04622753305</v>
      </c>
      <c r="G64" s="1263">
        <v>32940.697587534327</v>
      </c>
      <c r="H64" s="1264">
        <v>34436.162150054304</v>
      </c>
      <c r="I64" s="1201">
        <f t="shared" si="6"/>
        <v>0</v>
      </c>
      <c r="J64" s="371">
        <f t="shared" si="6"/>
        <v>0</v>
      </c>
      <c r="K64" s="371">
        <f t="shared" si="6"/>
        <v>0</v>
      </c>
      <c r="L64" s="371">
        <f t="shared" si="6"/>
        <v>0</v>
      </c>
      <c r="M64" s="1206">
        <f t="shared" si="6"/>
        <v>0</v>
      </c>
      <c r="N64" s="1327">
        <v>7.3409536878659303</v>
      </c>
      <c r="O64" s="1284">
        <v>12.129792882413962</v>
      </c>
      <c r="P64" s="1284">
        <v>14.388037297800814</v>
      </c>
      <c r="Q64" s="1284">
        <v>25.603604076981629</v>
      </c>
      <c r="R64" s="1284">
        <v>17.061494302597339</v>
      </c>
      <c r="S64" s="1285">
        <v>13.768689537569324</v>
      </c>
      <c r="T64" s="1286">
        <v>1</v>
      </c>
      <c r="U64" s="1287">
        <v>1</v>
      </c>
      <c r="V64" s="1287">
        <v>1</v>
      </c>
      <c r="W64" s="1287">
        <v>1</v>
      </c>
      <c r="X64" s="1287">
        <v>1</v>
      </c>
      <c r="Y64" s="1288">
        <v>25.270314364102898</v>
      </c>
      <c r="Z64" s="1286">
        <v>0</v>
      </c>
      <c r="AA64" s="1287">
        <v>0</v>
      </c>
      <c r="AB64" s="1287">
        <v>0</v>
      </c>
      <c r="AC64" s="1287">
        <v>321.59179009300397</v>
      </c>
      <c r="AD64" s="1287">
        <v>0</v>
      </c>
      <c r="AE64" s="1288">
        <v>171.46962256496946</v>
      </c>
    </row>
    <row r="65" spans="1:31" s="104" customFormat="1" ht="13.5" thickBot="1" x14ac:dyDescent="0.25">
      <c r="A65" s="3"/>
      <c r="B65" s="372">
        <v>2050</v>
      </c>
      <c r="C65" s="1265">
        <v>139788.33333333334</v>
      </c>
      <c r="D65" s="1266">
        <v>18929.964026555535</v>
      </c>
      <c r="E65" s="1266">
        <v>23054.964026555535</v>
      </c>
      <c r="F65" s="1266">
        <v>28829.964026555564</v>
      </c>
      <c r="G65" s="1266">
        <v>31556.964026555564</v>
      </c>
      <c r="H65" s="1267">
        <v>32715.964026555564</v>
      </c>
      <c r="I65" s="1202">
        <f t="shared" si="6"/>
        <v>0</v>
      </c>
      <c r="J65" s="373">
        <f t="shared" si="6"/>
        <v>0</v>
      </c>
      <c r="K65" s="373">
        <f t="shared" si="6"/>
        <v>0</v>
      </c>
      <c r="L65" s="373">
        <f t="shared" si="6"/>
        <v>0</v>
      </c>
      <c r="M65" s="1207">
        <f t="shared" si="6"/>
        <v>0</v>
      </c>
      <c r="N65" s="1328">
        <v>7.341369864499236</v>
      </c>
      <c r="O65" s="1290">
        <v>12.219691389571851</v>
      </c>
      <c r="P65" s="1290">
        <v>14.53680411313232</v>
      </c>
      <c r="Q65" s="1301">
        <v>25.866372757016599</v>
      </c>
      <c r="R65" s="1301">
        <v>17.253454897996413</v>
      </c>
      <c r="S65" s="1302">
        <v>13.924032598444374</v>
      </c>
      <c r="T65" s="1292">
        <v>1</v>
      </c>
      <c r="U65" s="1293">
        <v>1</v>
      </c>
      <c r="V65" s="1293">
        <v>1</v>
      </c>
      <c r="W65" s="1293">
        <v>1</v>
      </c>
      <c r="X65" s="1293">
        <v>1</v>
      </c>
      <c r="Y65" s="1294">
        <v>25.518304589170416</v>
      </c>
      <c r="Z65" s="1292">
        <v>0</v>
      </c>
      <c r="AA65" s="1293">
        <v>0</v>
      </c>
      <c r="AB65" s="1293">
        <v>0</v>
      </c>
      <c r="AC65" s="1293">
        <v>322.60803286403228</v>
      </c>
      <c r="AD65" s="1293">
        <v>0</v>
      </c>
      <c r="AE65" s="1294">
        <v>173.46761291978078</v>
      </c>
    </row>
    <row r="66" spans="1:31" s="104" customFormat="1" x14ac:dyDescent="0.2">
      <c r="A66" s="3"/>
      <c r="B66" s="102"/>
      <c r="C66" s="101"/>
      <c r="E66" s="2"/>
      <c r="F66" s="101"/>
      <c r="G66" s="5"/>
      <c r="H66" s="6"/>
      <c r="I66" s="594"/>
      <c r="J66" s="594"/>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1331"/>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2"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247650</xdr:colOff>
                    <xdr:row>8</xdr:row>
                    <xdr:rowOff>123825</xdr:rowOff>
                  </from>
                  <to>
                    <xdr:col>19</xdr:col>
                    <xdr:colOff>476250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7" zoomScaleNormal="100" workbookViewId="0">
      <selection activeCell="D36" sqref="D36"/>
    </sheetView>
  </sheetViews>
  <sheetFormatPr defaultColWidth="9.140625" defaultRowHeight="12.75" x14ac:dyDescent="0.2"/>
  <cols>
    <col min="1" max="1" width="1.5703125" style="343" customWidth="1"/>
    <col min="2" max="2" width="9.140625" style="343"/>
    <col min="3" max="4" width="9.5703125" style="343" customWidth="1"/>
    <col min="5" max="5" width="8.7109375" style="345" bestFit="1" customWidth="1"/>
    <col min="6" max="6" width="9" style="343" customWidth="1"/>
    <col min="7" max="7" width="8.7109375" style="345" bestFit="1" customWidth="1"/>
    <col min="8" max="8" width="9.28515625" style="343" customWidth="1"/>
    <col min="9" max="9" width="8.7109375" style="343" bestFit="1" customWidth="1"/>
    <col min="10" max="10" width="8.85546875" style="343" customWidth="1"/>
    <col min="11" max="11" width="8.7109375" style="343" bestFit="1" customWidth="1"/>
    <col min="12" max="12" width="7.85546875" style="343" customWidth="1"/>
    <col min="13" max="13" width="8.7109375" style="343" bestFit="1" customWidth="1"/>
    <col min="14" max="14" width="7.140625" style="343" customWidth="1"/>
    <col min="15" max="15" width="8.7109375" style="343" bestFit="1" customWidth="1"/>
    <col min="16" max="16" width="9.28515625" style="343" customWidth="1"/>
    <col min="17" max="17" width="8.7109375" style="343" bestFit="1" customWidth="1"/>
    <col min="18" max="18" width="9.85546875" style="343" customWidth="1"/>
    <col min="19" max="19" width="9" style="343" customWidth="1"/>
    <col min="20" max="20" width="7.85546875" style="343" customWidth="1"/>
    <col min="21" max="21" width="8.7109375" style="343" bestFit="1" customWidth="1"/>
    <col min="22" max="22" width="7.42578125" style="343" customWidth="1"/>
    <col min="23" max="23" width="8.7109375" style="343" bestFit="1" customWidth="1"/>
    <col min="24" max="24" width="7.85546875" style="343" customWidth="1"/>
    <col min="25" max="25" width="7.140625" style="343" customWidth="1"/>
    <col min="26" max="26" width="8.42578125" style="343" customWidth="1"/>
    <col min="27" max="27" width="7.140625" style="343" customWidth="1"/>
    <col min="28" max="28" width="9.140625" style="343"/>
    <col min="29" max="29" width="7.42578125" style="343" customWidth="1"/>
    <col min="30" max="30" width="8.5703125" style="343" customWidth="1"/>
    <col min="31" max="31" width="5.85546875" style="343" customWidth="1"/>
    <col min="32" max="32" width="7.85546875" style="343" customWidth="1"/>
    <col min="33" max="33" width="4.42578125" style="343" hidden="1" customWidth="1"/>
    <col min="34" max="34" width="6.5703125" style="343" hidden="1" customWidth="1"/>
    <col min="35" max="46" width="7.140625" style="343" hidden="1" customWidth="1"/>
    <col min="47" max="58" width="6.5703125" style="343" hidden="1" customWidth="1"/>
    <col min="59" max="67" width="0" style="343" hidden="1" customWidth="1"/>
    <col min="68" max="16384" width="9.140625" style="343"/>
  </cols>
  <sheetData>
    <row r="1" spans="1:27" s="385" customFormat="1" ht="15.75" x14ac:dyDescent="0.25">
      <c r="B1" s="618" t="s">
        <v>152</v>
      </c>
      <c r="C1" s="619"/>
      <c r="D1" s="619"/>
      <c r="E1" s="620"/>
      <c r="F1" s="619"/>
      <c r="G1" s="620"/>
    </row>
    <row r="2" spans="1:27" ht="5.25" customHeight="1" x14ac:dyDescent="0.25">
      <c r="B2" s="346"/>
      <c r="C2" s="344"/>
      <c r="D2" s="344"/>
      <c r="F2" s="344"/>
    </row>
    <row r="3" spans="1:27" customFormat="1" x14ac:dyDescent="0.2">
      <c r="A3" s="3"/>
      <c r="B3" s="1" t="s">
        <v>227</v>
      </c>
      <c r="C3" s="3"/>
      <c r="D3" s="613" t="s">
        <v>228</v>
      </c>
      <c r="E3" s="1222">
        <v>250</v>
      </c>
      <c r="F3" s="3"/>
      <c r="G3" s="2"/>
      <c r="H3" s="3"/>
      <c r="I3" s="3"/>
      <c r="J3" s="3"/>
      <c r="K3" s="3"/>
      <c r="L3" s="3"/>
      <c r="M3" s="3"/>
      <c r="N3" s="3"/>
      <c r="O3" s="3"/>
      <c r="P3" s="3"/>
    </row>
    <row r="4" spans="1:27" customFormat="1" x14ac:dyDescent="0.2">
      <c r="A4" s="3"/>
      <c r="B4" s="1"/>
      <c r="C4" s="3"/>
      <c r="D4" s="613"/>
      <c r="E4" s="617"/>
      <c r="F4" s="3"/>
      <c r="G4" s="2"/>
      <c r="H4" s="3"/>
      <c r="I4" s="3"/>
      <c r="J4" s="3"/>
      <c r="K4" s="3"/>
      <c r="L4" s="3"/>
      <c r="M4" s="3"/>
      <c r="N4" s="3"/>
      <c r="O4" s="3"/>
      <c r="P4" s="3"/>
    </row>
    <row r="5" spans="1:27" ht="15.75" thickBot="1" x14ac:dyDescent="0.3">
      <c r="B5" s="347" t="s">
        <v>74</v>
      </c>
      <c r="E5" s="343"/>
      <c r="G5" s="343"/>
      <c r="N5" s="348"/>
      <c r="O5" s="348"/>
    </row>
    <row r="6" spans="1:27" ht="24" customHeight="1" x14ac:dyDescent="0.2">
      <c r="B6" s="349"/>
      <c r="C6" s="350"/>
      <c r="D6" s="351"/>
      <c r="E6" s="351"/>
      <c r="F6" s="350"/>
      <c r="G6" s="350"/>
      <c r="H6" s="680"/>
      <c r="I6" s="450"/>
      <c r="J6" s="1521" t="s">
        <v>76</v>
      </c>
      <c r="K6" s="1522"/>
      <c r="L6" s="1512" t="s">
        <v>83</v>
      </c>
      <c r="M6" s="1513"/>
      <c r="N6" s="1512" t="s">
        <v>109</v>
      </c>
      <c r="O6" s="1513"/>
    </row>
    <row r="7" spans="1:27" ht="27" customHeight="1" thickBot="1" x14ac:dyDescent="0.3">
      <c r="B7" s="352"/>
      <c r="C7" s="449" t="s">
        <v>75</v>
      </c>
      <c r="D7" s="447"/>
      <c r="E7" s="448"/>
      <c r="F7" s="452" t="s">
        <v>211</v>
      </c>
      <c r="G7" s="452" t="s">
        <v>210</v>
      </c>
      <c r="H7" s="681" t="s">
        <v>264</v>
      </c>
      <c r="I7" s="451" t="s">
        <v>81</v>
      </c>
      <c r="J7" s="453" t="s">
        <v>280</v>
      </c>
      <c r="K7" s="454" t="s">
        <v>281</v>
      </c>
      <c r="L7" s="353" t="s">
        <v>113</v>
      </c>
      <c r="M7" s="354" t="s">
        <v>84</v>
      </c>
      <c r="N7" s="355" t="s">
        <v>95</v>
      </c>
      <c r="O7" s="356" t="s">
        <v>112</v>
      </c>
      <c r="P7" s="357"/>
    </row>
    <row r="8" spans="1:27" ht="13.5" thickTop="1" x14ac:dyDescent="0.2">
      <c r="B8" s="358" t="s">
        <v>69</v>
      </c>
      <c r="C8" s="1223" t="s">
        <v>183</v>
      </c>
      <c r="D8" s="1224"/>
      <c r="E8" s="1225"/>
      <c r="F8" s="1226" t="s">
        <v>5</v>
      </c>
      <c r="G8" s="1226" t="s">
        <v>229</v>
      </c>
      <c r="H8" s="740" t="b">
        <f>IF(AND(F8="Electricity",G8="N/A"),TRUE,FALSE)</f>
        <v>0</v>
      </c>
      <c r="I8" s="359"/>
      <c r="J8" s="360"/>
      <c r="K8" s="361"/>
      <c r="L8" s="362"/>
      <c r="M8" s="363"/>
      <c r="N8" s="1257">
        <v>0</v>
      </c>
      <c r="O8" s="1258">
        <v>350</v>
      </c>
      <c r="P8" s="364"/>
    </row>
    <row r="9" spans="1:27" x14ac:dyDescent="0.2">
      <c r="B9" s="365" t="s">
        <v>65</v>
      </c>
      <c r="C9" s="1227" t="s">
        <v>325</v>
      </c>
      <c r="D9" s="1228"/>
      <c r="E9" s="1229"/>
      <c r="F9" s="1230" t="s">
        <v>5</v>
      </c>
      <c r="G9" s="1230" t="s">
        <v>229</v>
      </c>
      <c r="H9" s="741" t="b">
        <f t="shared" ref="H9:H13" si="0">IF(AND(F9="Electricity",G9="N/A"),TRUE,FALSE)</f>
        <v>0</v>
      </c>
      <c r="I9" s="1238">
        <v>2025</v>
      </c>
      <c r="J9" s="1239">
        <v>0</v>
      </c>
      <c r="K9" s="1240">
        <v>0.5</v>
      </c>
      <c r="L9" s="1241">
        <v>5</v>
      </c>
      <c r="M9" s="1242">
        <v>5</v>
      </c>
      <c r="N9" s="1243">
        <v>0</v>
      </c>
      <c r="O9" s="1244">
        <v>350</v>
      </c>
      <c r="R9" s="386"/>
    </row>
    <row r="10" spans="1:27" x14ac:dyDescent="0.2">
      <c r="B10" s="365" t="s">
        <v>66</v>
      </c>
      <c r="C10" s="1227" t="s">
        <v>319</v>
      </c>
      <c r="D10" s="1228"/>
      <c r="E10" s="1229"/>
      <c r="F10" s="1230" t="s">
        <v>5</v>
      </c>
      <c r="G10" s="1230" t="s">
        <v>229</v>
      </c>
      <c r="H10" s="741" t="b">
        <f t="shared" si="0"/>
        <v>0</v>
      </c>
      <c r="I10" s="1238">
        <v>2025</v>
      </c>
      <c r="J10" s="1239">
        <v>0</v>
      </c>
      <c r="K10" s="1240">
        <v>0.5</v>
      </c>
      <c r="L10" s="1241">
        <v>5</v>
      </c>
      <c r="M10" s="1242">
        <v>5</v>
      </c>
      <c r="N10" s="1243">
        <v>0</v>
      </c>
      <c r="O10" s="1244">
        <v>350</v>
      </c>
    </row>
    <row r="11" spans="1:27" x14ac:dyDescent="0.2">
      <c r="B11" s="389" t="s">
        <v>67</v>
      </c>
      <c r="C11" s="1227" t="s">
        <v>321</v>
      </c>
      <c r="D11" s="1231"/>
      <c r="E11" s="1232"/>
      <c r="F11" s="1233" t="s">
        <v>6</v>
      </c>
      <c r="G11" s="1233" t="s">
        <v>229</v>
      </c>
      <c r="H11" s="742" t="b">
        <f t="shared" si="0"/>
        <v>1</v>
      </c>
      <c r="I11" s="1238">
        <v>2025</v>
      </c>
      <c r="J11" s="1332">
        <v>0</v>
      </c>
      <c r="K11" s="1245">
        <v>0.5</v>
      </c>
      <c r="L11" s="1246">
        <v>5</v>
      </c>
      <c r="M11" s="1247">
        <v>5</v>
      </c>
      <c r="N11" s="1248">
        <v>0</v>
      </c>
      <c r="O11" s="1249">
        <v>350</v>
      </c>
      <c r="P11" s="344"/>
    </row>
    <row r="12" spans="1:27" x14ac:dyDescent="0.2">
      <c r="B12" s="389" t="s">
        <v>205</v>
      </c>
      <c r="C12" s="1227" t="s">
        <v>441</v>
      </c>
      <c r="D12" s="1231"/>
      <c r="E12" s="1232"/>
      <c r="F12" s="1233" t="s">
        <v>207</v>
      </c>
      <c r="G12" s="1233" t="s">
        <v>229</v>
      </c>
      <c r="H12" s="742" t="b">
        <f t="shared" si="0"/>
        <v>0</v>
      </c>
      <c r="I12" s="1238">
        <v>2025</v>
      </c>
      <c r="J12" s="1332">
        <v>0</v>
      </c>
      <c r="K12" s="1245">
        <v>0.5</v>
      </c>
      <c r="L12" s="1246">
        <v>5</v>
      </c>
      <c r="M12" s="1247">
        <v>5</v>
      </c>
      <c r="N12" s="1248">
        <v>0</v>
      </c>
      <c r="O12" s="1249">
        <v>350</v>
      </c>
    </row>
    <row r="13" spans="1:27" ht="13.5" thickBot="1" x14ac:dyDescent="0.25">
      <c r="B13" s="366" t="s">
        <v>206</v>
      </c>
      <c r="C13" s="1234" t="s">
        <v>320</v>
      </c>
      <c r="D13" s="1235"/>
      <c r="E13" s="1236"/>
      <c r="F13" s="1237" t="s">
        <v>5</v>
      </c>
      <c r="G13" s="1237" t="s">
        <v>6</v>
      </c>
      <c r="H13" s="743" t="b">
        <f t="shared" si="0"/>
        <v>0</v>
      </c>
      <c r="I13" s="1250">
        <v>2025</v>
      </c>
      <c r="J13" s="1251">
        <v>0</v>
      </c>
      <c r="K13" s="1252">
        <v>0.5</v>
      </c>
      <c r="L13" s="1253">
        <v>5</v>
      </c>
      <c r="M13" s="1254">
        <v>5</v>
      </c>
      <c r="N13" s="1255">
        <v>0</v>
      </c>
      <c r="O13" s="1256">
        <v>350</v>
      </c>
    </row>
    <row r="14" spans="1:27" ht="15.75" x14ac:dyDescent="0.25">
      <c r="B14" s="346"/>
      <c r="C14" s="343" t="s">
        <v>265</v>
      </c>
      <c r="D14" s="344"/>
      <c r="F14" s="344"/>
    </row>
    <row r="15" spans="1:27" ht="15.75" thickBot="1" x14ac:dyDescent="0.25">
      <c r="B15" s="367" t="s">
        <v>119</v>
      </c>
      <c r="C15" s="749"/>
      <c r="D15" s="344"/>
      <c r="F15" s="344"/>
    </row>
    <row r="16" spans="1:27" ht="13.5" thickBot="1" x14ac:dyDescent="0.25">
      <c r="B16" s="103"/>
      <c r="C16" s="4"/>
      <c r="D16" s="344"/>
      <c r="F16" s="344"/>
      <c r="T16" s="616" t="s">
        <v>230</v>
      </c>
      <c r="U16" s="343" t="s">
        <v>231</v>
      </c>
      <c r="Z16" s="748"/>
      <c r="AA16" s="343" t="s">
        <v>262</v>
      </c>
    </row>
    <row r="17" spans="2:31" x14ac:dyDescent="0.2">
      <c r="B17" s="103"/>
      <c r="C17" s="105"/>
      <c r="D17" s="344"/>
      <c r="F17" s="344"/>
      <c r="U17" s="343" t="s">
        <v>232</v>
      </c>
      <c r="Z17" s="104"/>
      <c r="AA17" s="343" t="s">
        <v>263</v>
      </c>
    </row>
    <row r="18" spans="2:31" ht="13.5" thickBot="1" x14ac:dyDescent="0.25">
      <c r="B18" s="102"/>
      <c r="C18" s="101"/>
    </row>
    <row r="19" spans="2:31" ht="16.5" thickBot="1" x14ac:dyDescent="0.3">
      <c r="B19" s="595"/>
      <c r="C19" s="1514" t="s">
        <v>221</v>
      </c>
      <c r="D19" s="1515"/>
      <c r="E19" s="1515"/>
      <c r="F19" s="1515"/>
      <c r="G19" s="1515"/>
      <c r="H19" s="1515"/>
      <c r="I19" s="1515" t="s">
        <v>222</v>
      </c>
      <c r="J19" s="1515"/>
      <c r="K19" s="1515"/>
      <c r="L19" s="1515"/>
      <c r="M19" s="1516"/>
      <c r="N19" s="1517" t="s">
        <v>223</v>
      </c>
      <c r="O19" s="1518"/>
      <c r="P19" s="1518"/>
      <c r="Q19" s="1518"/>
      <c r="R19" s="1518"/>
      <c r="S19" s="1519"/>
      <c r="T19" s="1517" t="s">
        <v>224</v>
      </c>
      <c r="U19" s="1518"/>
      <c r="V19" s="1518"/>
      <c r="W19" s="1518"/>
      <c r="X19" s="1518"/>
      <c r="Y19" s="1519"/>
      <c r="Z19" s="1517" t="s">
        <v>226</v>
      </c>
      <c r="AA19" s="1518"/>
      <c r="AB19" s="1518"/>
      <c r="AC19" s="1518"/>
      <c r="AD19" s="1518"/>
      <c r="AE19" s="1519"/>
    </row>
    <row r="20" spans="2:31" ht="13.5" thickBot="1" x14ac:dyDescent="0.25">
      <c r="B20" s="607" t="s">
        <v>225</v>
      </c>
      <c r="C20" s="610" t="s">
        <v>69</v>
      </c>
      <c r="D20" s="596" t="s">
        <v>65</v>
      </c>
      <c r="E20" s="597" t="s">
        <v>66</v>
      </c>
      <c r="F20" s="596" t="s">
        <v>67</v>
      </c>
      <c r="G20" s="597" t="s">
        <v>205</v>
      </c>
      <c r="H20" s="596" t="s">
        <v>206</v>
      </c>
      <c r="I20" s="596" t="s">
        <v>65</v>
      </c>
      <c r="J20" s="597" t="s">
        <v>66</v>
      </c>
      <c r="K20" s="596" t="s">
        <v>67</v>
      </c>
      <c r="L20" s="597" t="s">
        <v>205</v>
      </c>
      <c r="M20" s="611" t="s">
        <v>206</v>
      </c>
      <c r="N20" s="612" t="s">
        <v>69</v>
      </c>
      <c r="O20" s="598" t="s">
        <v>65</v>
      </c>
      <c r="P20" s="599" t="s">
        <v>66</v>
      </c>
      <c r="Q20" s="598" t="s">
        <v>67</v>
      </c>
      <c r="R20" s="599" t="s">
        <v>205</v>
      </c>
      <c r="S20" s="598" t="s">
        <v>206</v>
      </c>
      <c r="T20" s="598" t="s">
        <v>69</v>
      </c>
      <c r="U20" s="598" t="s">
        <v>65</v>
      </c>
      <c r="V20" s="599" t="s">
        <v>66</v>
      </c>
      <c r="W20" s="598" t="s">
        <v>67</v>
      </c>
      <c r="X20" s="599" t="s">
        <v>205</v>
      </c>
      <c r="Y20" s="600" t="s">
        <v>206</v>
      </c>
      <c r="Z20" s="598" t="s">
        <v>69</v>
      </c>
      <c r="AA20" s="598" t="s">
        <v>65</v>
      </c>
      <c r="AB20" s="599" t="s">
        <v>66</v>
      </c>
      <c r="AC20" s="598" t="s">
        <v>67</v>
      </c>
      <c r="AD20" s="599" t="s">
        <v>205</v>
      </c>
      <c r="AE20" s="600" t="s">
        <v>206</v>
      </c>
    </row>
    <row r="21" spans="2:31" ht="13.5" thickBot="1" x14ac:dyDescent="0.25">
      <c r="B21" s="608" t="s">
        <v>3</v>
      </c>
      <c r="C21" s="609"/>
      <c r="D21" s="1333" t="str">
        <f>INDEX($C$9:$C$13,MATCH(D20,$B$9:$B$13,0))</f>
        <v>Adv Conv</v>
      </c>
      <c r="E21" s="1333" t="str">
        <f t="shared" ref="E21:H21" si="1">INDEX($C$9:$C$13,MATCH(E20,$B$9:$B$13,0))</f>
        <v>HEV</v>
      </c>
      <c r="F21" s="1333" t="str">
        <f t="shared" si="1"/>
        <v>BEV</v>
      </c>
      <c r="G21" s="1333" t="str">
        <f t="shared" si="1"/>
        <v>FCEV</v>
      </c>
      <c r="H21" s="1334" t="str">
        <f t="shared" si="1"/>
        <v>PHEV</v>
      </c>
      <c r="I21" s="1274">
        <v>0</v>
      </c>
      <c r="J21" s="1275">
        <v>0</v>
      </c>
      <c r="K21" s="1275">
        <v>0</v>
      </c>
      <c r="L21" s="1275">
        <v>0</v>
      </c>
      <c r="M21" s="1276">
        <v>0</v>
      </c>
      <c r="N21" s="601"/>
      <c r="O21" s="1333" t="str">
        <f>INDEX($C$9:$C$13,MATCH(O20,$B$9:$B$13,0))</f>
        <v>Adv Conv</v>
      </c>
      <c r="P21" s="1333" t="str">
        <f t="shared" ref="P21:S21" si="2">INDEX($C$9:$C$13,MATCH(P20,$B$9:$B$13,0))</f>
        <v>HEV</v>
      </c>
      <c r="Q21" s="1333" t="str">
        <f t="shared" si="2"/>
        <v>BEV</v>
      </c>
      <c r="R21" s="1333" t="str">
        <f t="shared" si="2"/>
        <v>FCEV</v>
      </c>
      <c r="S21" s="1334" t="str">
        <f t="shared" si="2"/>
        <v>PHEV</v>
      </c>
      <c r="T21" s="602"/>
      <c r="U21" s="1333" t="str">
        <f>INDEX($C$9:$C$13,MATCH(U20,$B$9:$B$13,0))</f>
        <v>Adv Conv</v>
      </c>
      <c r="V21" s="1333" t="str">
        <f t="shared" ref="V21:Y21" si="3">INDEX($C$9:$C$13,MATCH(V20,$B$9:$B$13,0))</f>
        <v>HEV</v>
      </c>
      <c r="W21" s="1333" t="str">
        <f t="shared" si="3"/>
        <v>BEV</v>
      </c>
      <c r="X21" s="1333" t="str">
        <f t="shared" si="3"/>
        <v>FCEV</v>
      </c>
      <c r="Y21" s="1334" t="str">
        <f t="shared" si="3"/>
        <v>PHEV</v>
      </c>
      <c r="Z21" s="601"/>
      <c r="AA21" s="1333" t="str">
        <f>INDEX($C$9:$C$13,MATCH(AA20,$B$9:$B$13,0))</f>
        <v>Adv Conv</v>
      </c>
      <c r="AB21" s="1333" t="str">
        <f t="shared" ref="AB21:AE21" si="4">INDEX($C$9:$C$13,MATCH(AB20,$B$9:$B$13,0))</f>
        <v>HEV</v>
      </c>
      <c r="AC21" s="1333" t="str">
        <f t="shared" si="4"/>
        <v>BEV</v>
      </c>
      <c r="AD21" s="1333" t="str">
        <f t="shared" si="4"/>
        <v>FCEV</v>
      </c>
      <c r="AE21" s="1334" t="str">
        <f t="shared" si="4"/>
        <v>PHEV</v>
      </c>
    </row>
    <row r="22" spans="2:31" x14ac:dyDescent="0.2">
      <c r="B22" s="374">
        <v>2007</v>
      </c>
      <c r="C22" s="1259">
        <v>81898</v>
      </c>
      <c r="D22" s="1260">
        <v>1000000</v>
      </c>
      <c r="E22" s="1260">
        <v>1000000</v>
      </c>
      <c r="F22" s="1260">
        <v>1000000</v>
      </c>
      <c r="G22" s="1260">
        <v>1000000</v>
      </c>
      <c r="H22" s="1261">
        <v>1000000</v>
      </c>
      <c r="I22" s="1200">
        <f>D22*I$21</f>
        <v>0</v>
      </c>
      <c r="J22" s="375">
        <f t="shared" ref="J22:M37" si="5">E22*J$21</f>
        <v>0</v>
      </c>
      <c r="K22" s="375">
        <f t="shared" si="5"/>
        <v>0</v>
      </c>
      <c r="L22" s="375">
        <f t="shared" si="5"/>
        <v>0</v>
      </c>
      <c r="M22" s="1205">
        <f t="shared" si="5"/>
        <v>0</v>
      </c>
      <c r="N22" s="1326">
        <v>5.9278738513698928</v>
      </c>
      <c r="O22" s="1278">
        <v>1</v>
      </c>
      <c r="P22" s="1278">
        <v>1</v>
      </c>
      <c r="Q22" s="1278">
        <v>1</v>
      </c>
      <c r="R22" s="1278">
        <v>1</v>
      </c>
      <c r="S22" s="1279">
        <v>1</v>
      </c>
      <c r="T22" s="1280">
        <v>1</v>
      </c>
      <c r="U22" s="1281">
        <v>1</v>
      </c>
      <c r="V22" s="1281">
        <v>1</v>
      </c>
      <c r="W22" s="1281">
        <v>1</v>
      </c>
      <c r="X22" s="1281">
        <v>1</v>
      </c>
      <c r="Y22" s="1282">
        <v>1</v>
      </c>
      <c r="Z22" s="1280">
        <v>0</v>
      </c>
      <c r="AA22" s="1281">
        <v>0</v>
      </c>
      <c r="AB22" s="1281">
        <v>0</v>
      </c>
      <c r="AC22" s="1281">
        <v>0</v>
      </c>
      <c r="AD22" s="1281">
        <v>0</v>
      </c>
      <c r="AE22" s="1282">
        <v>0</v>
      </c>
    </row>
    <row r="23" spans="2:31" x14ac:dyDescent="0.2">
      <c r="B23" s="370">
        <v>2008</v>
      </c>
      <c r="C23" s="1262">
        <v>81898</v>
      </c>
      <c r="D23" s="1263">
        <v>1000000</v>
      </c>
      <c r="E23" s="1263">
        <v>1000000</v>
      </c>
      <c r="F23" s="1263">
        <v>1000000</v>
      </c>
      <c r="G23" s="1263">
        <v>1000000</v>
      </c>
      <c r="H23" s="1264">
        <v>1000000</v>
      </c>
      <c r="I23" s="1201">
        <f t="shared" ref="I23:M65" si="6">D23*I$21</f>
        <v>0</v>
      </c>
      <c r="J23" s="371">
        <f t="shared" si="5"/>
        <v>0</v>
      </c>
      <c r="K23" s="371">
        <f t="shared" si="5"/>
        <v>0</v>
      </c>
      <c r="L23" s="371">
        <f t="shared" si="5"/>
        <v>0</v>
      </c>
      <c r="M23" s="1206">
        <f t="shared" si="5"/>
        <v>0</v>
      </c>
      <c r="N23" s="1327">
        <v>5.9278738513698928</v>
      </c>
      <c r="O23" s="1284">
        <v>1</v>
      </c>
      <c r="P23" s="1284">
        <v>1</v>
      </c>
      <c r="Q23" s="1284">
        <v>1</v>
      </c>
      <c r="R23" s="1284">
        <v>1</v>
      </c>
      <c r="S23" s="1285">
        <v>1</v>
      </c>
      <c r="T23" s="1286">
        <v>1</v>
      </c>
      <c r="U23" s="1287">
        <v>1</v>
      </c>
      <c r="V23" s="1287">
        <v>1</v>
      </c>
      <c r="W23" s="1287">
        <v>1</v>
      </c>
      <c r="X23" s="1287">
        <v>1</v>
      </c>
      <c r="Y23" s="1288">
        <v>1</v>
      </c>
      <c r="Z23" s="1286">
        <v>0</v>
      </c>
      <c r="AA23" s="1287">
        <v>0</v>
      </c>
      <c r="AB23" s="1287">
        <v>0</v>
      </c>
      <c r="AC23" s="1287">
        <v>0</v>
      </c>
      <c r="AD23" s="1287">
        <v>0</v>
      </c>
      <c r="AE23" s="1288">
        <v>0</v>
      </c>
    </row>
    <row r="24" spans="2:31" x14ac:dyDescent="0.2">
      <c r="B24" s="370">
        <v>2009</v>
      </c>
      <c r="C24" s="1262">
        <v>81898</v>
      </c>
      <c r="D24" s="1263">
        <v>1000000</v>
      </c>
      <c r="E24" s="1263">
        <v>1000000</v>
      </c>
      <c r="F24" s="1263">
        <v>1000000</v>
      </c>
      <c r="G24" s="1263">
        <v>1000000</v>
      </c>
      <c r="H24" s="1264">
        <v>1000000</v>
      </c>
      <c r="I24" s="1201">
        <f t="shared" si="6"/>
        <v>0</v>
      </c>
      <c r="J24" s="371">
        <f t="shared" si="5"/>
        <v>0</v>
      </c>
      <c r="K24" s="371">
        <f t="shared" si="5"/>
        <v>0</v>
      </c>
      <c r="L24" s="371">
        <f t="shared" si="5"/>
        <v>0</v>
      </c>
      <c r="M24" s="1206">
        <f t="shared" si="5"/>
        <v>0</v>
      </c>
      <c r="N24" s="1327">
        <v>5.9278738513698928</v>
      </c>
      <c r="O24" s="1284">
        <v>1</v>
      </c>
      <c r="P24" s="1284">
        <v>1</v>
      </c>
      <c r="Q24" s="1284">
        <v>1</v>
      </c>
      <c r="R24" s="1284">
        <v>1</v>
      </c>
      <c r="S24" s="1285">
        <v>1</v>
      </c>
      <c r="T24" s="1286">
        <v>1</v>
      </c>
      <c r="U24" s="1287">
        <v>1</v>
      </c>
      <c r="V24" s="1287">
        <v>1</v>
      </c>
      <c r="W24" s="1287">
        <v>1</v>
      </c>
      <c r="X24" s="1287">
        <v>1</v>
      </c>
      <c r="Y24" s="1288">
        <v>1</v>
      </c>
      <c r="Z24" s="1286">
        <v>0</v>
      </c>
      <c r="AA24" s="1287">
        <v>0</v>
      </c>
      <c r="AB24" s="1287">
        <v>0</v>
      </c>
      <c r="AC24" s="1287">
        <v>0</v>
      </c>
      <c r="AD24" s="1287">
        <v>0</v>
      </c>
      <c r="AE24" s="1288">
        <v>0</v>
      </c>
    </row>
    <row r="25" spans="2:31" ht="13.5" thickBot="1" x14ac:dyDescent="0.25">
      <c r="B25" s="372">
        <v>2010</v>
      </c>
      <c r="C25" s="1265">
        <v>81898</v>
      </c>
      <c r="D25" s="1266">
        <v>1000000</v>
      </c>
      <c r="E25" s="1266">
        <v>1000000</v>
      </c>
      <c r="F25" s="1266">
        <v>1000000</v>
      </c>
      <c r="G25" s="1266">
        <v>1000000</v>
      </c>
      <c r="H25" s="1267">
        <v>1000000</v>
      </c>
      <c r="I25" s="1202">
        <f t="shared" si="6"/>
        <v>0</v>
      </c>
      <c r="J25" s="373">
        <f t="shared" si="5"/>
        <v>0</v>
      </c>
      <c r="K25" s="373">
        <f t="shared" si="5"/>
        <v>0</v>
      </c>
      <c r="L25" s="373">
        <f t="shared" si="5"/>
        <v>0</v>
      </c>
      <c r="M25" s="1207">
        <f t="shared" si="5"/>
        <v>0</v>
      </c>
      <c r="N25" s="1328">
        <v>5.2655413578482051</v>
      </c>
      <c r="O25" s="1290">
        <v>1</v>
      </c>
      <c r="P25" s="1290">
        <v>1</v>
      </c>
      <c r="Q25" s="1290">
        <v>1</v>
      </c>
      <c r="R25" s="1290">
        <v>1</v>
      </c>
      <c r="S25" s="1291">
        <v>1</v>
      </c>
      <c r="T25" s="1292">
        <v>1</v>
      </c>
      <c r="U25" s="1293">
        <v>1</v>
      </c>
      <c r="V25" s="1293">
        <v>1</v>
      </c>
      <c r="W25" s="1293">
        <v>1</v>
      </c>
      <c r="X25" s="1293">
        <v>1</v>
      </c>
      <c r="Y25" s="1294">
        <v>1</v>
      </c>
      <c r="Z25" s="1292">
        <v>0</v>
      </c>
      <c r="AA25" s="1293">
        <v>0</v>
      </c>
      <c r="AB25" s="1293">
        <v>0</v>
      </c>
      <c r="AC25" s="1293">
        <v>0</v>
      </c>
      <c r="AD25" s="1293">
        <v>0</v>
      </c>
      <c r="AE25" s="1294">
        <v>0</v>
      </c>
    </row>
    <row r="26" spans="2:31" x14ac:dyDescent="0.2">
      <c r="B26" s="374">
        <v>2011</v>
      </c>
      <c r="C26" s="1268">
        <v>81898</v>
      </c>
      <c r="D26" s="1269">
        <v>1000000</v>
      </c>
      <c r="E26" s="1269">
        <v>1000000</v>
      </c>
      <c r="F26" s="1269">
        <v>1000000</v>
      </c>
      <c r="G26" s="1269">
        <v>1000000</v>
      </c>
      <c r="H26" s="1270">
        <v>1000000</v>
      </c>
      <c r="I26" s="1200">
        <f t="shared" si="6"/>
        <v>0</v>
      </c>
      <c r="J26" s="375">
        <f t="shared" si="5"/>
        <v>0</v>
      </c>
      <c r="K26" s="375">
        <f t="shared" si="5"/>
        <v>0</v>
      </c>
      <c r="L26" s="375">
        <f t="shared" si="5"/>
        <v>0</v>
      </c>
      <c r="M26" s="1205">
        <f t="shared" si="5"/>
        <v>0</v>
      </c>
      <c r="N26" s="1329">
        <v>5.3415539478743668</v>
      </c>
      <c r="O26" s="1296">
        <v>1</v>
      </c>
      <c r="P26" s="1296">
        <v>1</v>
      </c>
      <c r="Q26" s="1296">
        <v>1</v>
      </c>
      <c r="R26" s="1296">
        <v>1</v>
      </c>
      <c r="S26" s="1297">
        <v>1</v>
      </c>
      <c r="T26" s="1298">
        <v>1</v>
      </c>
      <c r="U26" s="1299">
        <v>1</v>
      </c>
      <c r="V26" s="1299">
        <v>1</v>
      </c>
      <c r="W26" s="1299">
        <v>1</v>
      </c>
      <c r="X26" s="1299">
        <v>1</v>
      </c>
      <c r="Y26" s="1300">
        <v>1</v>
      </c>
      <c r="Z26" s="1298">
        <v>0</v>
      </c>
      <c r="AA26" s="1299">
        <v>0</v>
      </c>
      <c r="AB26" s="1299">
        <v>0</v>
      </c>
      <c r="AC26" s="1299">
        <v>0</v>
      </c>
      <c r="AD26" s="1299">
        <v>0</v>
      </c>
      <c r="AE26" s="1300">
        <v>0</v>
      </c>
    </row>
    <row r="27" spans="2:31" x14ac:dyDescent="0.2">
      <c r="B27" s="370">
        <v>2012</v>
      </c>
      <c r="C27" s="1262">
        <v>81898</v>
      </c>
      <c r="D27" s="1263">
        <v>1000000</v>
      </c>
      <c r="E27" s="1263">
        <v>1000000</v>
      </c>
      <c r="F27" s="1263">
        <v>1000000</v>
      </c>
      <c r="G27" s="1263">
        <v>1000000</v>
      </c>
      <c r="H27" s="1264">
        <v>1000000</v>
      </c>
      <c r="I27" s="1201">
        <f t="shared" si="6"/>
        <v>0</v>
      </c>
      <c r="J27" s="371">
        <f t="shared" si="5"/>
        <v>0</v>
      </c>
      <c r="K27" s="371">
        <f t="shared" si="5"/>
        <v>0</v>
      </c>
      <c r="L27" s="371">
        <f t="shared" si="5"/>
        <v>0</v>
      </c>
      <c r="M27" s="1206">
        <f t="shared" si="5"/>
        <v>0</v>
      </c>
      <c r="N27" s="1327">
        <v>5.3663261607096828</v>
      </c>
      <c r="O27" s="1284">
        <v>1</v>
      </c>
      <c r="P27" s="1284">
        <v>1</v>
      </c>
      <c r="Q27" s="1284">
        <v>1</v>
      </c>
      <c r="R27" s="1284">
        <v>1</v>
      </c>
      <c r="S27" s="1285">
        <v>1</v>
      </c>
      <c r="T27" s="1286">
        <v>1</v>
      </c>
      <c r="U27" s="1287">
        <v>1</v>
      </c>
      <c r="V27" s="1287">
        <v>1</v>
      </c>
      <c r="W27" s="1287">
        <v>1</v>
      </c>
      <c r="X27" s="1287">
        <v>1</v>
      </c>
      <c r="Y27" s="1288">
        <v>1</v>
      </c>
      <c r="Z27" s="1286">
        <v>0</v>
      </c>
      <c r="AA27" s="1287">
        <v>0</v>
      </c>
      <c r="AB27" s="1287">
        <v>0</v>
      </c>
      <c r="AC27" s="1287">
        <v>0</v>
      </c>
      <c r="AD27" s="1287">
        <v>0</v>
      </c>
      <c r="AE27" s="1288">
        <v>0</v>
      </c>
    </row>
    <row r="28" spans="2:31" x14ac:dyDescent="0.2">
      <c r="B28" s="370">
        <v>2013</v>
      </c>
      <c r="C28" s="1262">
        <v>81898</v>
      </c>
      <c r="D28" s="1263">
        <v>1000000</v>
      </c>
      <c r="E28" s="1263">
        <v>1000000</v>
      </c>
      <c r="F28" s="1263">
        <v>1000000</v>
      </c>
      <c r="G28" s="1263">
        <v>1000000</v>
      </c>
      <c r="H28" s="1264">
        <v>1000000</v>
      </c>
      <c r="I28" s="1201">
        <f t="shared" si="6"/>
        <v>0</v>
      </c>
      <c r="J28" s="371">
        <f t="shared" si="5"/>
        <v>0</v>
      </c>
      <c r="K28" s="371">
        <f t="shared" si="5"/>
        <v>0</v>
      </c>
      <c r="L28" s="371">
        <f t="shared" si="5"/>
        <v>0</v>
      </c>
      <c r="M28" s="1206">
        <f t="shared" si="5"/>
        <v>0</v>
      </c>
      <c r="N28" s="1327">
        <v>5.4191824611432953</v>
      </c>
      <c r="O28" s="1284">
        <v>1</v>
      </c>
      <c r="P28" s="1284">
        <v>1</v>
      </c>
      <c r="Q28" s="1284">
        <v>1</v>
      </c>
      <c r="R28" s="1284">
        <v>1</v>
      </c>
      <c r="S28" s="1285">
        <v>1</v>
      </c>
      <c r="T28" s="1286">
        <v>1</v>
      </c>
      <c r="U28" s="1287">
        <v>1</v>
      </c>
      <c r="V28" s="1287">
        <v>1</v>
      </c>
      <c r="W28" s="1287">
        <v>1</v>
      </c>
      <c r="X28" s="1287">
        <v>1</v>
      </c>
      <c r="Y28" s="1288">
        <v>1</v>
      </c>
      <c r="Z28" s="1286">
        <v>0</v>
      </c>
      <c r="AA28" s="1287">
        <v>0</v>
      </c>
      <c r="AB28" s="1287">
        <v>0</v>
      </c>
      <c r="AC28" s="1287">
        <v>0</v>
      </c>
      <c r="AD28" s="1287">
        <v>0</v>
      </c>
      <c r="AE28" s="1288">
        <v>0</v>
      </c>
    </row>
    <row r="29" spans="2:31" x14ac:dyDescent="0.2">
      <c r="B29" s="370">
        <v>2014</v>
      </c>
      <c r="C29" s="1262">
        <v>81898</v>
      </c>
      <c r="D29" s="1263">
        <v>1000000</v>
      </c>
      <c r="E29" s="1263">
        <v>1000000</v>
      </c>
      <c r="F29" s="1263">
        <v>1000000</v>
      </c>
      <c r="G29" s="1263">
        <v>1000000</v>
      </c>
      <c r="H29" s="1264">
        <v>1000000</v>
      </c>
      <c r="I29" s="1201">
        <f t="shared" si="6"/>
        <v>0</v>
      </c>
      <c r="J29" s="371">
        <f t="shared" si="5"/>
        <v>0</v>
      </c>
      <c r="K29" s="371">
        <f t="shared" si="5"/>
        <v>0</v>
      </c>
      <c r="L29" s="371">
        <f t="shared" si="5"/>
        <v>0</v>
      </c>
      <c r="M29" s="1206">
        <f t="shared" si="5"/>
        <v>0</v>
      </c>
      <c r="N29" s="1327">
        <v>5.4553664294865474</v>
      </c>
      <c r="O29" s="1284">
        <v>1</v>
      </c>
      <c r="P29" s="1284">
        <v>1</v>
      </c>
      <c r="Q29" s="1284">
        <v>1</v>
      </c>
      <c r="R29" s="1284">
        <v>1</v>
      </c>
      <c r="S29" s="1285">
        <v>1</v>
      </c>
      <c r="T29" s="1286">
        <v>1</v>
      </c>
      <c r="U29" s="1287">
        <v>1</v>
      </c>
      <c r="V29" s="1287">
        <v>1</v>
      </c>
      <c r="W29" s="1287">
        <v>1</v>
      </c>
      <c r="X29" s="1287">
        <v>1</v>
      </c>
      <c r="Y29" s="1288">
        <v>1</v>
      </c>
      <c r="Z29" s="1286">
        <v>0</v>
      </c>
      <c r="AA29" s="1287">
        <v>0</v>
      </c>
      <c r="AB29" s="1287">
        <v>0</v>
      </c>
      <c r="AC29" s="1287">
        <v>0</v>
      </c>
      <c r="AD29" s="1287">
        <v>0</v>
      </c>
      <c r="AE29" s="1288">
        <v>0</v>
      </c>
    </row>
    <row r="30" spans="2:31" ht="13.5" thickBot="1" x14ac:dyDescent="0.25">
      <c r="B30" s="372">
        <v>2015</v>
      </c>
      <c r="C30" s="1265">
        <v>81898</v>
      </c>
      <c r="D30" s="1266">
        <v>1000000</v>
      </c>
      <c r="E30" s="1266">
        <v>1000000</v>
      </c>
      <c r="F30" s="1266">
        <v>1000000</v>
      </c>
      <c r="G30" s="1266">
        <v>1000000</v>
      </c>
      <c r="H30" s="1267">
        <v>1000000</v>
      </c>
      <c r="I30" s="1202">
        <f t="shared" si="6"/>
        <v>0</v>
      </c>
      <c r="J30" s="373">
        <f t="shared" si="5"/>
        <v>0</v>
      </c>
      <c r="K30" s="373">
        <f t="shared" si="5"/>
        <v>0</v>
      </c>
      <c r="L30" s="373">
        <f t="shared" si="5"/>
        <v>0</v>
      </c>
      <c r="M30" s="1207">
        <f t="shared" si="5"/>
        <v>0</v>
      </c>
      <c r="N30" s="1328">
        <v>5.5204345082149757</v>
      </c>
      <c r="O30" s="1290">
        <v>1</v>
      </c>
      <c r="P30" s="1290">
        <v>1</v>
      </c>
      <c r="Q30" s="1301">
        <v>1</v>
      </c>
      <c r="R30" s="1301">
        <v>1</v>
      </c>
      <c r="S30" s="1302">
        <v>1</v>
      </c>
      <c r="T30" s="1292">
        <v>1</v>
      </c>
      <c r="U30" s="1293">
        <v>1</v>
      </c>
      <c r="V30" s="1293">
        <v>1</v>
      </c>
      <c r="W30" s="1293">
        <v>1</v>
      </c>
      <c r="X30" s="1293">
        <v>1</v>
      </c>
      <c r="Y30" s="1294">
        <v>1</v>
      </c>
      <c r="Z30" s="1292">
        <v>0</v>
      </c>
      <c r="AA30" s="1293">
        <v>0</v>
      </c>
      <c r="AB30" s="1293">
        <v>0</v>
      </c>
      <c r="AC30" s="1293">
        <v>0</v>
      </c>
      <c r="AD30" s="1293">
        <v>0</v>
      </c>
      <c r="AE30" s="1294">
        <v>0</v>
      </c>
    </row>
    <row r="31" spans="2:31" x14ac:dyDescent="0.2">
      <c r="B31" s="374">
        <v>2016</v>
      </c>
      <c r="C31" s="1268">
        <v>81898</v>
      </c>
      <c r="D31" s="1269">
        <v>1000000</v>
      </c>
      <c r="E31" s="1269">
        <v>1000000</v>
      </c>
      <c r="F31" s="1269">
        <v>1000000</v>
      </c>
      <c r="G31" s="1269">
        <v>1000000</v>
      </c>
      <c r="H31" s="1270">
        <v>1000000</v>
      </c>
      <c r="I31" s="1200">
        <f t="shared" si="6"/>
        <v>0</v>
      </c>
      <c r="J31" s="375">
        <f t="shared" si="5"/>
        <v>0</v>
      </c>
      <c r="K31" s="375">
        <f t="shared" si="5"/>
        <v>0</v>
      </c>
      <c r="L31" s="375">
        <f t="shared" si="5"/>
        <v>0</v>
      </c>
      <c r="M31" s="1205">
        <f t="shared" si="5"/>
        <v>0</v>
      </c>
      <c r="N31" s="1329">
        <v>5.5660001226091724</v>
      </c>
      <c r="O31" s="1284">
        <v>1</v>
      </c>
      <c r="P31" s="1284">
        <v>1</v>
      </c>
      <c r="Q31" s="1303">
        <v>1</v>
      </c>
      <c r="R31" s="1303">
        <v>1</v>
      </c>
      <c r="S31" s="1304">
        <v>1</v>
      </c>
      <c r="T31" s="1298">
        <v>1</v>
      </c>
      <c r="U31" s="1299">
        <v>1</v>
      </c>
      <c r="V31" s="1299">
        <v>1</v>
      </c>
      <c r="W31" s="1299">
        <v>1</v>
      </c>
      <c r="X31" s="1299">
        <v>1</v>
      </c>
      <c r="Y31" s="1300">
        <v>1</v>
      </c>
      <c r="Z31" s="1298">
        <v>0</v>
      </c>
      <c r="AA31" s="1299">
        <v>0</v>
      </c>
      <c r="AB31" s="1299">
        <v>0</v>
      </c>
      <c r="AC31" s="1299">
        <v>0</v>
      </c>
      <c r="AD31" s="1299">
        <v>0</v>
      </c>
      <c r="AE31" s="1300">
        <v>0</v>
      </c>
    </row>
    <row r="32" spans="2:31" x14ac:dyDescent="0.2">
      <c r="B32" s="370">
        <v>2017</v>
      </c>
      <c r="C32" s="1262">
        <v>81898</v>
      </c>
      <c r="D32" s="1263">
        <v>1000000</v>
      </c>
      <c r="E32" s="1263">
        <v>1000000</v>
      </c>
      <c r="F32" s="1263">
        <v>1000000</v>
      </c>
      <c r="G32" s="1263">
        <v>1000000</v>
      </c>
      <c r="H32" s="1264">
        <v>1000000</v>
      </c>
      <c r="I32" s="1201">
        <f t="shared" si="6"/>
        <v>0</v>
      </c>
      <c r="J32" s="371">
        <f t="shared" si="5"/>
        <v>0</v>
      </c>
      <c r="K32" s="371">
        <f t="shared" si="5"/>
        <v>0</v>
      </c>
      <c r="L32" s="371">
        <f t="shared" si="5"/>
        <v>0</v>
      </c>
      <c r="M32" s="1206">
        <f t="shared" si="5"/>
        <v>0</v>
      </c>
      <c r="N32" s="1327">
        <v>5.6494704469932113</v>
      </c>
      <c r="O32" s="1284">
        <v>1</v>
      </c>
      <c r="P32" s="1284">
        <v>1</v>
      </c>
      <c r="Q32" s="1303">
        <v>1</v>
      </c>
      <c r="R32" s="1303">
        <v>1</v>
      </c>
      <c r="S32" s="1304">
        <v>1</v>
      </c>
      <c r="T32" s="1286">
        <v>1</v>
      </c>
      <c r="U32" s="1287">
        <v>1</v>
      </c>
      <c r="V32" s="1287">
        <v>1</v>
      </c>
      <c r="W32" s="1287">
        <v>1</v>
      </c>
      <c r="X32" s="1287">
        <v>1</v>
      </c>
      <c r="Y32" s="1288">
        <v>1</v>
      </c>
      <c r="Z32" s="1286">
        <v>0</v>
      </c>
      <c r="AA32" s="1287">
        <v>0</v>
      </c>
      <c r="AB32" s="1287">
        <v>0</v>
      </c>
      <c r="AC32" s="1287">
        <v>0</v>
      </c>
      <c r="AD32" s="1287">
        <v>0</v>
      </c>
      <c r="AE32" s="1288">
        <v>0</v>
      </c>
    </row>
    <row r="33" spans="2:31" x14ac:dyDescent="0.2">
      <c r="B33" s="370">
        <v>2018</v>
      </c>
      <c r="C33" s="1262">
        <v>81898</v>
      </c>
      <c r="D33" s="1263">
        <v>1000000</v>
      </c>
      <c r="E33" s="1263">
        <v>1000000</v>
      </c>
      <c r="F33" s="1263">
        <v>1000000</v>
      </c>
      <c r="G33" s="1263">
        <v>1000000</v>
      </c>
      <c r="H33" s="1264">
        <v>1000000</v>
      </c>
      <c r="I33" s="1201">
        <f t="shared" si="6"/>
        <v>0</v>
      </c>
      <c r="J33" s="371">
        <f t="shared" si="5"/>
        <v>0</v>
      </c>
      <c r="K33" s="371">
        <f t="shared" si="5"/>
        <v>0</v>
      </c>
      <c r="L33" s="371">
        <f t="shared" si="5"/>
        <v>0</v>
      </c>
      <c r="M33" s="1206">
        <f t="shared" si="5"/>
        <v>0</v>
      </c>
      <c r="N33" s="1327">
        <v>5.9240566280970688</v>
      </c>
      <c r="O33" s="1284">
        <v>1</v>
      </c>
      <c r="P33" s="1284">
        <v>1</v>
      </c>
      <c r="Q33" s="1303">
        <v>1</v>
      </c>
      <c r="R33" s="1303">
        <v>1</v>
      </c>
      <c r="S33" s="1304">
        <v>1</v>
      </c>
      <c r="T33" s="1286">
        <v>1</v>
      </c>
      <c r="U33" s="1287">
        <v>1</v>
      </c>
      <c r="V33" s="1287">
        <v>1</v>
      </c>
      <c r="W33" s="1287">
        <v>1</v>
      </c>
      <c r="X33" s="1287">
        <v>1</v>
      </c>
      <c r="Y33" s="1288">
        <v>1</v>
      </c>
      <c r="Z33" s="1286">
        <v>0</v>
      </c>
      <c r="AA33" s="1287">
        <v>0</v>
      </c>
      <c r="AB33" s="1287">
        <v>0</v>
      </c>
      <c r="AC33" s="1287">
        <v>0</v>
      </c>
      <c r="AD33" s="1287">
        <v>0</v>
      </c>
      <c r="AE33" s="1288">
        <v>0</v>
      </c>
    </row>
    <row r="34" spans="2:31" x14ac:dyDescent="0.2">
      <c r="B34" s="370">
        <v>2019</v>
      </c>
      <c r="C34" s="1262">
        <v>81898</v>
      </c>
      <c r="D34" s="1263">
        <v>1000000</v>
      </c>
      <c r="E34" s="1263">
        <v>1000000</v>
      </c>
      <c r="F34" s="1263">
        <v>1000000</v>
      </c>
      <c r="G34" s="1263">
        <v>1000000</v>
      </c>
      <c r="H34" s="1264">
        <v>1000000</v>
      </c>
      <c r="I34" s="1201">
        <f t="shared" si="6"/>
        <v>0</v>
      </c>
      <c r="J34" s="371">
        <f t="shared" si="5"/>
        <v>0</v>
      </c>
      <c r="K34" s="371">
        <f t="shared" si="5"/>
        <v>0</v>
      </c>
      <c r="L34" s="371">
        <f t="shared" si="5"/>
        <v>0</v>
      </c>
      <c r="M34" s="1206">
        <f t="shared" si="5"/>
        <v>0</v>
      </c>
      <c r="N34" s="1327">
        <v>5.952860711436446</v>
      </c>
      <c r="O34" s="1284">
        <v>1</v>
      </c>
      <c r="P34" s="1284">
        <v>1</v>
      </c>
      <c r="Q34" s="1303">
        <v>1</v>
      </c>
      <c r="R34" s="1303">
        <v>1</v>
      </c>
      <c r="S34" s="1304">
        <v>1</v>
      </c>
      <c r="T34" s="1286">
        <v>1</v>
      </c>
      <c r="U34" s="1287">
        <v>1</v>
      </c>
      <c r="V34" s="1287">
        <v>1</v>
      </c>
      <c r="W34" s="1287">
        <v>1</v>
      </c>
      <c r="X34" s="1287">
        <v>1</v>
      </c>
      <c r="Y34" s="1288">
        <v>1</v>
      </c>
      <c r="Z34" s="1286">
        <v>0</v>
      </c>
      <c r="AA34" s="1287">
        <v>0</v>
      </c>
      <c r="AB34" s="1287">
        <v>0</v>
      </c>
      <c r="AC34" s="1287">
        <v>0</v>
      </c>
      <c r="AD34" s="1287">
        <v>0</v>
      </c>
      <c r="AE34" s="1288">
        <v>0</v>
      </c>
    </row>
    <row r="35" spans="2:31" ht="13.5" thickBot="1" x14ac:dyDescent="0.25">
      <c r="B35" s="372">
        <v>2020</v>
      </c>
      <c r="C35" s="1265">
        <v>81898</v>
      </c>
      <c r="D35" s="1266">
        <v>1000000</v>
      </c>
      <c r="E35" s="1266">
        <v>1000000</v>
      </c>
      <c r="F35" s="1266">
        <v>1000000</v>
      </c>
      <c r="G35" s="1266">
        <v>1000000</v>
      </c>
      <c r="H35" s="1267">
        <v>1000000</v>
      </c>
      <c r="I35" s="1202">
        <f t="shared" si="6"/>
        <v>0</v>
      </c>
      <c r="J35" s="373">
        <f t="shared" si="5"/>
        <v>0</v>
      </c>
      <c r="K35" s="373">
        <f t="shared" si="5"/>
        <v>0</v>
      </c>
      <c r="L35" s="373">
        <f t="shared" si="5"/>
        <v>0</v>
      </c>
      <c r="M35" s="1207">
        <f t="shared" si="5"/>
        <v>0</v>
      </c>
      <c r="N35" s="1328">
        <v>5.9917803397176899</v>
      </c>
      <c r="O35" s="1290">
        <v>1</v>
      </c>
      <c r="P35" s="1290">
        <v>1</v>
      </c>
      <c r="Q35" s="1301">
        <v>1</v>
      </c>
      <c r="R35" s="1301">
        <v>1</v>
      </c>
      <c r="S35" s="1302">
        <v>1</v>
      </c>
      <c r="T35" s="1292">
        <v>1</v>
      </c>
      <c r="U35" s="1293">
        <v>1</v>
      </c>
      <c r="V35" s="1293">
        <v>1</v>
      </c>
      <c r="W35" s="1293">
        <v>1</v>
      </c>
      <c r="X35" s="1293">
        <v>1</v>
      </c>
      <c r="Y35" s="1294">
        <v>1</v>
      </c>
      <c r="Z35" s="1292">
        <v>0</v>
      </c>
      <c r="AA35" s="1293">
        <v>0</v>
      </c>
      <c r="AB35" s="1293">
        <v>0</v>
      </c>
      <c r="AC35" s="1293">
        <v>0</v>
      </c>
      <c r="AD35" s="1293">
        <v>0</v>
      </c>
      <c r="AE35" s="1294">
        <v>0</v>
      </c>
    </row>
    <row r="36" spans="2:31" x14ac:dyDescent="0.2">
      <c r="B36" s="374">
        <v>2021</v>
      </c>
      <c r="C36" s="1268">
        <v>81898</v>
      </c>
      <c r="D36" s="1269">
        <v>1</v>
      </c>
      <c r="E36" s="1269">
        <v>6764</v>
      </c>
      <c r="F36" s="1269">
        <v>322656</v>
      </c>
      <c r="G36" s="1269">
        <v>110885</v>
      </c>
      <c r="H36" s="1270">
        <v>160383</v>
      </c>
      <c r="I36" s="1200">
        <f t="shared" si="6"/>
        <v>0</v>
      </c>
      <c r="J36" s="375">
        <f t="shared" si="5"/>
        <v>0</v>
      </c>
      <c r="K36" s="375">
        <f t="shared" si="5"/>
        <v>0</v>
      </c>
      <c r="L36" s="375">
        <f t="shared" si="5"/>
        <v>0</v>
      </c>
      <c r="M36" s="1205">
        <f t="shared" si="5"/>
        <v>0</v>
      </c>
      <c r="N36" s="1329">
        <v>6.1940987651005122</v>
      </c>
      <c r="O36" s="1296">
        <v>6.2715736371404072</v>
      </c>
      <c r="P36" s="1296">
        <v>7.8534604064263362</v>
      </c>
      <c r="Q36" s="1303">
        <v>21.689853677728362</v>
      </c>
      <c r="R36" s="1303">
        <v>14.211564793539933</v>
      </c>
      <c r="S36" s="1304">
        <v>9.3353952631421162</v>
      </c>
      <c r="T36" s="1298">
        <v>1</v>
      </c>
      <c r="U36" s="1299">
        <v>1</v>
      </c>
      <c r="V36" s="1299">
        <v>1</v>
      </c>
      <c r="W36" s="1299">
        <v>1</v>
      </c>
      <c r="X36" s="1299">
        <v>1</v>
      </c>
      <c r="Y36" s="1300">
        <v>25.171223297058749</v>
      </c>
      <c r="Z36" s="1298">
        <v>0</v>
      </c>
      <c r="AA36" s="1299">
        <v>0</v>
      </c>
      <c r="AB36" s="1299">
        <v>0</v>
      </c>
      <c r="AC36" s="1299">
        <v>256.30572411788074</v>
      </c>
      <c r="AD36" s="1299">
        <v>0</v>
      </c>
      <c r="AE36" s="1300">
        <v>130.01725712790753</v>
      </c>
    </row>
    <row r="37" spans="2:31" x14ac:dyDescent="0.2">
      <c r="B37" s="370">
        <v>2022</v>
      </c>
      <c r="C37" s="1262">
        <v>82087.725529534306</v>
      </c>
      <c r="D37" s="1263">
        <v>56.093640539386179</v>
      </c>
      <c r="E37" s="1263">
        <v>6526.4968865290921</v>
      </c>
      <c r="F37" s="1263">
        <v>298419.92295999225</v>
      </c>
      <c r="G37" s="1263">
        <v>103165.28701461111</v>
      </c>
      <c r="H37" s="1264">
        <v>148220.27195813757</v>
      </c>
      <c r="I37" s="1201">
        <f t="shared" si="6"/>
        <v>0</v>
      </c>
      <c r="J37" s="371">
        <f t="shared" si="5"/>
        <v>0</v>
      </c>
      <c r="K37" s="371">
        <f t="shared" si="5"/>
        <v>0</v>
      </c>
      <c r="L37" s="371">
        <f t="shared" si="5"/>
        <v>0</v>
      </c>
      <c r="M37" s="1206">
        <f t="shared" si="5"/>
        <v>0</v>
      </c>
      <c r="N37" s="1327">
        <v>6.3185291641470567</v>
      </c>
      <c r="O37" s="1284">
        <v>6.4448212492846597</v>
      </c>
      <c r="P37" s="1284">
        <v>8.1090433158871154</v>
      </c>
      <c r="Q37" s="1305">
        <v>22.19940685512551</v>
      </c>
      <c r="R37" s="1305">
        <v>14.59752595258467</v>
      </c>
      <c r="S37" s="1306">
        <v>9.6911832900695583</v>
      </c>
      <c r="T37" s="1286">
        <v>1</v>
      </c>
      <c r="U37" s="1287">
        <v>1</v>
      </c>
      <c r="V37" s="1287">
        <v>1</v>
      </c>
      <c r="W37" s="1287">
        <v>1</v>
      </c>
      <c r="X37" s="1287">
        <v>1</v>
      </c>
      <c r="Y37" s="1288">
        <v>25.664601038512366</v>
      </c>
      <c r="Z37" s="1286">
        <v>0</v>
      </c>
      <c r="AA37" s="1287">
        <v>0</v>
      </c>
      <c r="AB37" s="1287">
        <v>0</v>
      </c>
      <c r="AC37" s="1287">
        <v>256.84902647481169</v>
      </c>
      <c r="AD37" s="1287">
        <v>0</v>
      </c>
      <c r="AE37" s="1288">
        <v>128.78932301893929</v>
      </c>
    </row>
    <row r="38" spans="2:31" x14ac:dyDescent="0.2">
      <c r="B38" s="370">
        <v>2023</v>
      </c>
      <c r="C38" s="1262">
        <v>82326.472177893869</v>
      </c>
      <c r="D38" s="1263">
        <v>100.48595658335795</v>
      </c>
      <c r="E38" s="1263">
        <v>6338.5377315652649</v>
      </c>
      <c r="F38" s="1263">
        <v>279239.57414896064</v>
      </c>
      <c r="G38" s="1263">
        <v>97055.9324546141</v>
      </c>
      <c r="H38" s="1264">
        <v>138594.73041725426</v>
      </c>
      <c r="I38" s="1201">
        <f t="shared" si="6"/>
        <v>0</v>
      </c>
      <c r="J38" s="371">
        <f t="shared" si="6"/>
        <v>0</v>
      </c>
      <c r="K38" s="371">
        <f t="shared" si="6"/>
        <v>0</v>
      </c>
      <c r="L38" s="371">
        <f t="shared" si="6"/>
        <v>0</v>
      </c>
      <c r="M38" s="1206">
        <f t="shared" si="6"/>
        <v>0</v>
      </c>
      <c r="N38" s="1327">
        <v>6.4751097824714527</v>
      </c>
      <c r="O38" s="1284">
        <v>6.5819288193802565</v>
      </c>
      <c r="P38" s="1284">
        <v>8.3113107598098193</v>
      </c>
      <c r="Q38" s="1305">
        <v>22.602665503961841</v>
      </c>
      <c r="R38" s="1305">
        <v>14.902974299104111</v>
      </c>
      <c r="S38" s="1306">
        <v>9.9727527226139525</v>
      </c>
      <c r="T38" s="1286">
        <v>1</v>
      </c>
      <c r="U38" s="1287">
        <v>1</v>
      </c>
      <c r="V38" s="1287">
        <v>1</v>
      </c>
      <c r="W38" s="1287">
        <v>1</v>
      </c>
      <c r="X38" s="1287">
        <v>1</v>
      </c>
      <c r="Y38" s="1288">
        <v>26.05505850244344</v>
      </c>
      <c r="Z38" s="1286">
        <v>0</v>
      </c>
      <c r="AA38" s="1287">
        <v>0</v>
      </c>
      <c r="AB38" s="1287">
        <v>0</v>
      </c>
      <c r="AC38" s="1287">
        <v>257.27899410936692</v>
      </c>
      <c r="AD38" s="1287">
        <v>0</v>
      </c>
      <c r="AE38" s="1288">
        <v>127.81754014796988</v>
      </c>
    </row>
    <row r="39" spans="2:31" x14ac:dyDescent="0.2">
      <c r="B39" s="370">
        <v>2024</v>
      </c>
      <c r="C39" s="1262">
        <v>82591.997318871639</v>
      </c>
      <c r="D39" s="1263">
        <v>158.67262778500285</v>
      </c>
      <c r="E39" s="1263">
        <v>6092.1726277850039</v>
      </c>
      <c r="F39" s="1263">
        <v>254099.1726277851</v>
      </c>
      <c r="G39" s="1263">
        <v>89048.172627785025</v>
      </c>
      <c r="H39" s="1264">
        <v>125978.17262778507</v>
      </c>
      <c r="I39" s="1201">
        <f t="shared" si="6"/>
        <v>0</v>
      </c>
      <c r="J39" s="371">
        <f t="shared" si="6"/>
        <v>0</v>
      </c>
      <c r="K39" s="371">
        <f t="shared" si="6"/>
        <v>0</v>
      </c>
      <c r="L39" s="371">
        <f t="shared" si="6"/>
        <v>0</v>
      </c>
      <c r="M39" s="1206">
        <f t="shared" si="6"/>
        <v>0</v>
      </c>
      <c r="N39" s="1327">
        <v>6.6492529214040559</v>
      </c>
      <c r="O39" s="1284">
        <v>6.76164084640103</v>
      </c>
      <c r="P39" s="1284">
        <v>8.5764302737966496</v>
      </c>
      <c r="Q39" s="1305">
        <v>23.131231717669131</v>
      </c>
      <c r="R39" s="1305">
        <v>15.303336886413325</v>
      </c>
      <c r="S39" s="1306">
        <v>10.341816323072781</v>
      </c>
      <c r="T39" s="1286">
        <v>1</v>
      </c>
      <c r="U39" s="1287">
        <v>1</v>
      </c>
      <c r="V39" s="1287">
        <v>1</v>
      </c>
      <c r="W39" s="1287">
        <v>1</v>
      </c>
      <c r="X39" s="1287">
        <v>1</v>
      </c>
      <c r="Y39" s="1288">
        <v>26.566845723670678</v>
      </c>
      <c r="Z39" s="1286">
        <v>0</v>
      </c>
      <c r="AA39" s="1287">
        <v>0</v>
      </c>
      <c r="AB39" s="1287">
        <v>0</v>
      </c>
      <c r="AC39" s="1287">
        <v>257.84256879095</v>
      </c>
      <c r="AD39" s="1287">
        <v>0</v>
      </c>
      <c r="AE39" s="1288">
        <v>126.5437879441768</v>
      </c>
    </row>
    <row r="40" spans="2:31" ht="13.5" thickBot="1" x14ac:dyDescent="0.25">
      <c r="B40" s="372">
        <v>2025</v>
      </c>
      <c r="C40" s="1265">
        <v>82881.92275512802</v>
      </c>
      <c r="D40" s="1266">
        <v>216.85929898664773</v>
      </c>
      <c r="E40" s="1266">
        <v>5845.8075240047401</v>
      </c>
      <c r="F40" s="1266">
        <v>228958.77110660941</v>
      </c>
      <c r="G40" s="1266">
        <v>81040.412800955906</v>
      </c>
      <c r="H40" s="1267">
        <v>113361.61483831584</v>
      </c>
      <c r="I40" s="1202">
        <f t="shared" si="6"/>
        <v>0</v>
      </c>
      <c r="J40" s="373">
        <f t="shared" si="6"/>
        <v>0</v>
      </c>
      <c r="K40" s="373">
        <f t="shared" si="6"/>
        <v>0</v>
      </c>
      <c r="L40" s="373">
        <f t="shared" si="6"/>
        <v>0</v>
      </c>
      <c r="M40" s="1207">
        <f t="shared" si="6"/>
        <v>0</v>
      </c>
      <c r="N40" s="1328">
        <v>6.8393988538764896</v>
      </c>
      <c r="O40" s="1290">
        <v>6.9413528734218035</v>
      </c>
      <c r="P40" s="1290">
        <v>8.8415497877834817</v>
      </c>
      <c r="Q40" s="1301">
        <v>23.659797931376424</v>
      </c>
      <c r="R40" s="1301">
        <v>15.703699473722541</v>
      </c>
      <c r="S40" s="1302">
        <v>10.710879923531609</v>
      </c>
      <c r="T40" s="1292">
        <v>1</v>
      </c>
      <c r="U40" s="1293">
        <v>1</v>
      </c>
      <c r="V40" s="1293">
        <v>1</v>
      </c>
      <c r="W40" s="1293">
        <v>1</v>
      </c>
      <c r="X40" s="1293">
        <v>1</v>
      </c>
      <c r="Y40" s="1294">
        <v>27.078632944897908</v>
      </c>
      <c r="Z40" s="1292">
        <v>0</v>
      </c>
      <c r="AA40" s="1293">
        <v>0</v>
      </c>
      <c r="AB40" s="1293">
        <v>0</v>
      </c>
      <c r="AC40" s="1293">
        <v>258.40614347253307</v>
      </c>
      <c r="AD40" s="1293">
        <v>0</v>
      </c>
      <c r="AE40" s="1294">
        <v>125.27003574038372</v>
      </c>
    </row>
    <row r="41" spans="2:31" x14ac:dyDescent="0.2">
      <c r="B41" s="374">
        <v>2026</v>
      </c>
      <c r="C41" s="1268">
        <v>83172.1840849359</v>
      </c>
      <c r="D41" s="1269">
        <v>261.2516150306198</v>
      </c>
      <c r="E41" s="1269">
        <v>5657.8483690409121</v>
      </c>
      <c r="F41" s="1269">
        <v>209778.42229557762</v>
      </c>
      <c r="G41" s="1269">
        <v>74931.058240958897</v>
      </c>
      <c r="H41" s="1270">
        <v>103736.07329743257</v>
      </c>
      <c r="I41" s="1200">
        <f t="shared" si="6"/>
        <v>0</v>
      </c>
      <c r="J41" s="375">
        <f t="shared" si="6"/>
        <v>0</v>
      </c>
      <c r="K41" s="375">
        <f t="shared" si="6"/>
        <v>0</v>
      </c>
      <c r="L41" s="375">
        <f t="shared" si="6"/>
        <v>0</v>
      </c>
      <c r="M41" s="1205">
        <f t="shared" si="6"/>
        <v>0</v>
      </c>
      <c r="N41" s="1329">
        <v>7.029765080205796</v>
      </c>
      <c r="O41" s="1296">
        <v>7.0784604435174012</v>
      </c>
      <c r="P41" s="1296">
        <v>9.0438172317061873</v>
      </c>
      <c r="Q41" s="1303">
        <v>24.063056580212759</v>
      </c>
      <c r="R41" s="1303">
        <v>16.009147820241981</v>
      </c>
      <c r="S41" s="1304">
        <v>10.992449356076003</v>
      </c>
      <c r="T41" s="1298">
        <v>1</v>
      </c>
      <c r="U41" s="1299">
        <v>1</v>
      </c>
      <c r="V41" s="1299">
        <v>1</v>
      </c>
      <c r="W41" s="1299">
        <v>1</v>
      </c>
      <c r="X41" s="1299">
        <v>1</v>
      </c>
      <c r="Y41" s="1300">
        <v>27.469090408828983</v>
      </c>
      <c r="Z41" s="1298">
        <v>0</v>
      </c>
      <c r="AA41" s="1299">
        <v>0</v>
      </c>
      <c r="AB41" s="1299">
        <v>0</v>
      </c>
      <c r="AC41" s="1299">
        <v>258.8361111070883</v>
      </c>
      <c r="AD41" s="1299">
        <v>0</v>
      </c>
      <c r="AE41" s="1300">
        <v>124.29825286941431</v>
      </c>
    </row>
    <row r="42" spans="2:31" x14ac:dyDescent="0.2">
      <c r="B42" s="370">
        <v>2027</v>
      </c>
      <c r="C42" s="1262">
        <v>83484.726277849884</v>
      </c>
      <c r="D42" s="1263">
        <v>317.34525557000597</v>
      </c>
      <c r="E42" s="1263">
        <v>5420.345255570006</v>
      </c>
      <c r="F42" s="1263">
        <v>185542.34525557002</v>
      </c>
      <c r="G42" s="1263">
        <v>67211.345255570006</v>
      </c>
      <c r="H42" s="1264">
        <v>91573.345255570006</v>
      </c>
      <c r="I42" s="1201">
        <f t="shared" si="6"/>
        <v>0</v>
      </c>
      <c r="J42" s="371">
        <f t="shared" si="6"/>
        <v>0</v>
      </c>
      <c r="K42" s="371">
        <f t="shared" si="6"/>
        <v>0</v>
      </c>
      <c r="L42" s="371">
        <f t="shared" si="6"/>
        <v>0</v>
      </c>
      <c r="M42" s="1206">
        <f t="shared" si="6"/>
        <v>0</v>
      </c>
      <c r="N42" s="1327">
        <v>7.2347440826554212</v>
      </c>
      <c r="O42" s="1284">
        <v>7.2517080556616538</v>
      </c>
      <c r="P42" s="1284">
        <v>9.2994001411669647</v>
      </c>
      <c r="Q42" s="1305">
        <v>24.572609757609904</v>
      </c>
      <c r="R42" s="1305">
        <v>16.395108979286718</v>
      </c>
      <c r="S42" s="1306">
        <v>11.348237383003449</v>
      </c>
      <c r="T42" s="1286">
        <v>1</v>
      </c>
      <c r="U42" s="1287">
        <v>1</v>
      </c>
      <c r="V42" s="1287">
        <v>1</v>
      </c>
      <c r="W42" s="1287">
        <v>1</v>
      </c>
      <c r="X42" s="1287">
        <v>1</v>
      </c>
      <c r="Y42" s="1288">
        <v>27.962468150282604</v>
      </c>
      <c r="Z42" s="1286">
        <v>0</v>
      </c>
      <c r="AA42" s="1287">
        <v>0</v>
      </c>
      <c r="AB42" s="1287">
        <v>0</v>
      </c>
      <c r="AC42" s="1287">
        <v>259.37941346401925</v>
      </c>
      <c r="AD42" s="1287">
        <v>0</v>
      </c>
      <c r="AE42" s="1288">
        <v>123.07031876044607</v>
      </c>
    </row>
    <row r="43" spans="2:31" x14ac:dyDescent="0.2">
      <c r="B43" s="370">
        <v>2028</v>
      </c>
      <c r="C43" s="1262">
        <v>83784.744700380907</v>
      </c>
      <c r="D43" s="1263">
        <v>789.61182657478776</v>
      </c>
      <c r="E43" s="1263">
        <v>5474.124371933759</v>
      </c>
      <c r="F43" s="1263">
        <v>170348.93464156563</v>
      </c>
      <c r="G43" s="1263">
        <v>64798.719586070685</v>
      </c>
      <c r="H43" s="1264">
        <v>84674.890231854704</v>
      </c>
      <c r="I43" s="1201">
        <f t="shared" si="6"/>
        <v>0</v>
      </c>
      <c r="J43" s="371">
        <f t="shared" si="6"/>
        <v>0</v>
      </c>
      <c r="K43" s="371">
        <f t="shared" si="6"/>
        <v>0</v>
      </c>
      <c r="L43" s="371">
        <f t="shared" si="6"/>
        <v>0</v>
      </c>
      <c r="M43" s="1206">
        <f t="shared" si="6"/>
        <v>0</v>
      </c>
      <c r="N43" s="1327">
        <v>7.3264307414802223</v>
      </c>
      <c r="O43" s="1284">
        <v>7.455517029020279</v>
      </c>
      <c r="P43" s="1284">
        <v>9.5544731395984464</v>
      </c>
      <c r="Q43" s="1305">
        <v>25.009017225245607</v>
      </c>
      <c r="R43" s="1305">
        <v>16.68189178943247</v>
      </c>
      <c r="S43" s="1306">
        <v>11.644927703965985</v>
      </c>
      <c r="T43" s="1286">
        <v>1</v>
      </c>
      <c r="U43" s="1287">
        <v>1</v>
      </c>
      <c r="V43" s="1287">
        <v>1</v>
      </c>
      <c r="W43" s="1287">
        <v>1</v>
      </c>
      <c r="X43" s="1287">
        <v>1</v>
      </c>
      <c r="Y43" s="1288">
        <v>28.194902635732834</v>
      </c>
      <c r="Z43" s="1286">
        <v>0</v>
      </c>
      <c r="AA43" s="1287">
        <v>0</v>
      </c>
      <c r="AB43" s="1287">
        <v>0</v>
      </c>
      <c r="AC43" s="1287">
        <v>260.9285579751089</v>
      </c>
      <c r="AD43" s="1287">
        <v>0</v>
      </c>
      <c r="AE43" s="1288">
        <v>123.1252556509081</v>
      </c>
    </row>
    <row r="44" spans="2:31" x14ac:dyDescent="0.2">
      <c r="B44" s="370">
        <v>2029</v>
      </c>
      <c r="C44" s="1262">
        <v>84366.519224326781</v>
      </c>
      <c r="D44" s="1263">
        <v>1061.6613667538663</v>
      </c>
      <c r="E44" s="1263">
        <v>5505.1038754096626</v>
      </c>
      <c r="F44" s="1263">
        <v>161596.7581694987</v>
      </c>
      <c r="G44" s="1263">
        <v>63408.924617912984</v>
      </c>
      <c r="H44" s="1264">
        <v>80701.0296362277</v>
      </c>
      <c r="I44" s="1201">
        <f t="shared" si="6"/>
        <v>0</v>
      </c>
      <c r="J44" s="371">
        <f t="shared" si="6"/>
        <v>0</v>
      </c>
      <c r="K44" s="371">
        <f t="shared" si="6"/>
        <v>0</v>
      </c>
      <c r="L44" s="371">
        <f t="shared" si="6"/>
        <v>0</v>
      </c>
      <c r="M44" s="1206">
        <f t="shared" si="6"/>
        <v>0</v>
      </c>
      <c r="N44" s="1327">
        <v>7.5042230311669371</v>
      </c>
      <c r="O44" s="1284">
        <v>7.5729213529566914</v>
      </c>
      <c r="P44" s="1284">
        <v>9.7014081466385278</v>
      </c>
      <c r="Q44" s="1305">
        <v>25.260410099927405</v>
      </c>
      <c r="R44" s="1305">
        <v>16.847093259156285</v>
      </c>
      <c r="S44" s="1306">
        <v>11.815836403308635</v>
      </c>
      <c r="T44" s="1286">
        <v>1</v>
      </c>
      <c r="U44" s="1287">
        <v>1</v>
      </c>
      <c r="V44" s="1287">
        <v>1</v>
      </c>
      <c r="W44" s="1287">
        <v>1</v>
      </c>
      <c r="X44" s="1287">
        <v>1</v>
      </c>
      <c r="Y44" s="1288">
        <v>28.328796709060878</v>
      </c>
      <c r="Z44" s="1286">
        <v>0</v>
      </c>
      <c r="AA44" s="1287">
        <v>0</v>
      </c>
      <c r="AB44" s="1287">
        <v>0</v>
      </c>
      <c r="AC44" s="1287">
        <v>261.82094392361296</v>
      </c>
      <c r="AD44" s="1287">
        <v>0</v>
      </c>
      <c r="AE44" s="1288">
        <v>123.15690209108969</v>
      </c>
    </row>
    <row r="45" spans="2:31" ht="13.5" thickBot="1" x14ac:dyDescent="0.25">
      <c r="B45" s="372">
        <v>2030</v>
      </c>
      <c r="C45" s="1265">
        <v>84892.630138550478</v>
      </c>
      <c r="D45" s="1266">
        <v>1411.7421836692938</v>
      </c>
      <c r="E45" s="1266">
        <v>5544.9691509669747</v>
      </c>
      <c r="F45" s="1266">
        <v>150334.21721055318</v>
      </c>
      <c r="G45" s="1266">
        <v>61620.498298657571</v>
      </c>
      <c r="H45" s="1267">
        <v>75587.356726839964</v>
      </c>
      <c r="I45" s="1202">
        <f t="shared" si="6"/>
        <v>0</v>
      </c>
      <c r="J45" s="373">
        <f t="shared" si="6"/>
        <v>0</v>
      </c>
      <c r="K45" s="373">
        <f t="shared" si="6"/>
        <v>0</v>
      </c>
      <c r="L45" s="373">
        <f t="shared" si="6"/>
        <v>0</v>
      </c>
      <c r="M45" s="1207">
        <f t="shared" si="6"/>
        <v>0</v>
      </c>
      <c r="N45" s="1328">
        <v>7.665004330826771</v>
      </c>
      <c r="O45" s="1290">
        <v>7.7240004601149232</v>
      </c>
      <c r="P45" s="1290">
        <v>9.8904881475244188</v>
      </c>
      <c r="Q45" s="1301">
        <v>25.583909352590688</v>
      </c>
      <c r="R45" s="1301">
        <v>17.059679045695283</v>
      </c>
      <c r="S45" s="1302">
        <v>12.035766409602504</v>
      </c>
      <c r="T45" s="1292">
        <v>1</v>
      </c>
      <c r="U45" s="1293">
        <v>1</v>
      </c>
      <c r="V45" s="1293">
        <v>1</v>
      </c>
      <c r="W45" s="1293">
        <v>1</v>
      </c>
      <c r="X45" s="1293">
        <v>1</v>
      </c>
      <c r="Y45" s="1294">
        <v>28.501095278431581</v>
      </c>
      <c r="Z45" s="1292">
        <v>0</v>
      </c>
      <c r="AA45" s="1293">
        <v>0</v>
      </c>
      <c r="AB45" s="1293">
        <v>0</v>
      </c>
      <c r="AC45" s="1293">
        <v>262.96929066094071</v>
      </c>
      <c r="AD45" s="1293">
        <v>0</v>
      </c>
      <c r="AE45" s="1294">
        <v>123.19762559910937</v>
      </c>
    </row>
    <row r="46" spans="2:31" x14ac:dyDescent="0.2">
      <c r="B46" s="374">
        <v>2031</v>
      </c>
      <c r="C46" s="1268">
        <v>85375.139586938691</v>
      </c>
      <c r="D46" s="1269">
        <v>1798.6264412343999</v>
      </c>
      <c r="E46" s="1269">
        <v>5589.0253996712408</v>
      </c>
      <c r="F46" s="1269">
        <v>137887.66319599573</v>
      </c>
      <c r="G46" s="1269">
        <v>59644.057558969223</v>
      </c>
      <c r="H46" s="1270">
        <v>69936.091500681592</v>
      </c>
      <c r="I46" s="1200">
        <f t="shared" si="6"/>
        <v>0</v>
      </c>
      <c r="J46" s="375">
        <f t="shared" si="6"/>
        <v>0</v>
      </c>
      <c r="K46" s="375">
        <f t="shared" si="6"/>
        <v>0</v>
      </c>
      <c r="L46" s="375">
        <f t="shared" si="6"/>
        <v>0</v>
      </c>
      <c r="M46" s="1205">
        <f t="shared" si="6"/>
        <v>0</v>
      </c>
      <c r="N46" s="1329">
        <v>7.8124608729980709</v>
      </c>
      <c r="O46" s="1296">
        <v>7.8909622740226872</v>
      </c>
      <c r="P46" s="1296">
        <v>10.099445828804107</v>
      </c>
      <c r="Q46" s="1303">
        <v>25.941417568242894</v>
      </c>
      <c r="R46" s="1303">
        <v>17.29461363856646</v>
      </c>
      <c r="S46" s="1304">
        <v>12.278817308394961</v>
      </c>
      <c r="T46" s="1298">
        <v>1</v>
      </c>
      <c r="U46" s="1299">
        <v>1</v>
      </c>
      <c r="V46" s="1299">
        <v>1</v>
      </c>
      <c r="W46" s="1299">
        <v>1</v>
      </c>
      <c r="X46" s="1299">
        <v>1</v>
      </c>
      <c r="Y46" s="1300">
        <v>28.691507322935639</v>
      </c>
      <c r="Z46" s="1298">
        <v>0</v>
      </c>
      <c r="AA46" s="1299">
        <v>0</v>
      </c>
      <c r="AB46" s="1299">
        <v>0</v>
      </c>
      <c r="AC46" s="1299">
        <v>264.23836126815905</v>
      </c>
      <c r="AD46" s="1299">
        <v>0</v>
      </c>
      <c r="AE46" s="1300">
        <v>123.24263030489264</v>
      </c>
    </row>
    <row r="47" spans="2:31" x14ac:dyDescent="0.2">
      <c r="B47" s="370">
        <v>2032</v>
      </c>
      <c r="C47" s="1262">
        <v>85427.114817694557</v>
      </c>
      <c r="D47" s="1269">
        <v>2160.4417350947924</v>
      </c>
      <c r="E47" s="1269">
        <v>5630.2269328420189</v>
      </c>
      <c r="F47" s="1269">
        <v>126247.60932906227</v>
      </c>
      <c r="G47" s="1269">
        <v>57795.684374884229</v>
      </c>
      <c r="H47" s="1270">
        <v>64651.011664778984</v>
      </c>
      <c r="I47" s="1201">
        <f t="shared" si="6"/>
        <v>0</v>
      </c>
      <c r="J47" s="376">
        <f t="shared" si="6"/>
        <v>0</v>
      </c>
      <c r="K47" s="371">
        <f t="shared" si="6"/>
        <v>0</v>
      </c>
      <c r="L47" s="376">
        <f t="shared" si="6"/>
        <v>0</v>
      </c>
      <c r="M47" s="1206">
        <f t="shared" si="6"/>
        <v>0</v>
      </c>
      <c r="N47" s="1329">
        <v>7.8283446817637188</v>
      </c>
      <c r="O47" s="1284">
        <v>8.0471054527156998</v>
      </c>
      <c r="P47" s="1284">
        <v>10.294863665995049</v>
      </c>
      <c r="Q47" s="1305">
        <v>26.275760301436016</v>
      </c>
      <c r="R47" s="1305">
        <v>17.514325159765665</v>
      </c>
      <c r="S47" s="1306">
        <v>12.50611922272738</v>
      </c>
      <c r="T47" s="1298">
        <v>1</v>
      </c>
      <c r="U47" s="1299">
        <v>1</v>
      </c>
      <c r="V47" s="1299">
        <v>1</v>
      </c>
      <c r="W47" s="1299">
        <v>1</v>
      </c>
      <c r="X47" s="1299">
        <v>1</v>
      </c>
      <c r="Y47" s="1300">
        <v>28.869581226149958</v>
      </c>
      <c r="Z47" s="1298">
        <v>0</v>
      </c>
      <c r="AA47" s="1299">
        <v>0</v>
      </c>
      <c r="AB47" s="1299">
        <v>0</v>
      </c>
      <c r="AC47" s="1299">
        <v>265.42519982698315</v>
      </c>
      <c r="AD47" s="1299">
        <v>0</v>
      </c>
      <c r="AE47" s="1300">
        <v>123.28471883790908</v>
      </c>
    </row>
    <row r="48" spans="2:31" x14ac:dyDescent="0.2">
      <c r="B48" s="370">
        <v>2033</v>
      </c>
      <c r="C48" s="1262">
        <v>85479.195721251788</v>
      </c>
      <c r="D48" s="1269">
        <v>2449.6659056070375</v>
      </c>
      <c r="E48" s="1269">
        <v>5663.1621886406565</v>
      </c>
      <c r="F48" s="1269">
        <v>116942.90336027401</v>
      </c>
      <c r="G48" s="1269">
        <v>56318.150920562184</v>
      </c>
      <c r="H48" s="1270">
        <v>60426.2791629524</v>
      </c>
      <c r="I48" s="1201">
        <f t="shared" si="6"/>
        <v>0</v>
      </c>
      <c r="J48" s="371">
        <f t="shared" si="6"/>
        <v>0</v>
      </c>
      <c r="K48" s="371">
        <f t="shared" si="6"/>
        <v>0</v>
      </c>
      <c r="L48" s="371">
        <f t="shared" si="6"/>
        <v>0</v>
      </c>
      <c r="M48" s="1206">
        <f t="shared" si="6"/>
        <v>0</v>
      </c>
      <c r="N48" s="1329">
        <v>7.8442607844998591</v>
      </c>
      <c r="O48" s="1284">
        <v>8.171921573274874</v>
      </c>
      <c r="P48" s="1284">
        <v>10.45107475718971</v>
      </c>
      <c r="Q48" s="1305">
        <v>26.543023740310684</v>
      </c>
      <c r="R48" s="1305">
        <v>17.689955885025572</v>
      </c>
      <c r="S48" s="1306">
        <v>12.687817478008999</v>
      </c>
      <c r="T48" s="1298">
        <v>1</v>
      </c>
      <c r="U48" s="1299">
        <v>1</v>
      </c>
      <c r="V48" s="1299">
        <v>1</v>
      </c>
      <c r="W48" s="1299">
        <v>1</v>
      </c>
      <c r="X48" s="1299">
        <v>1</v>
      </c>
      <c r="Y48" s="1300">
        <v>29.011928102639136</v>
      </c>
      <c r="Z48" s="1298">
        <v>0</v>
      </c>
      <c r="AA48" s="1299">
        <v>0</v>
      </c>
      <c r="AB48" s="1299">
        <v>0</v>
      </c>
      <c r="AC48" s="1299">
        <v>266.37392256903587</v>
      </c>
      <c r="AD48" s="1299">
        <v>0</v>
      </c>
      <c r="AE48" s="1300">
        <v>123.31836313447786</v>
      </c>
    </row>
    <row r="49" spans="2:31" x14ac:dyDescent="0.2">
      <c r="B49" s="370">
        <v>2034</v>
      </c>
      <c r="C49" s="1262">
        <v>85531.382512457712</v>
      </c>
      <c r="D49" s="1269">
        <v>2653.214291100534</v>
      </c>
      <c r="E49" s="1269">
        <v>5686.3411578525129</v>
      </c>
      <c r="F49" s="1269">
        <v>110394.49534138641</v>
      </c>
      <c r="G49" s="1269">
        <v>55278.301627858862</v>
      </c>
      <c r="H49" s="1270">
        <v>57453.023233596017</v>
      </c>
      <c r="I49" s="1201">
        <f t="shared" si="6"/>
        <v>0</v>
      </c>
      <c r="J49" s="371">
        <f t="shared" si="6"/>
        <v>0</v>
      </c>
      <c r="K49" s="371">
        <f t="shared" si="6"/>
        <v>0</v>
      </c>
      <c r="L49" s="371">
        <f t="shared" si="6"/>
        <v>0</v>
      </c>
      <c r="M49" s="1206">
        <f t="shared" si="6"/>
        <v>0</v>
      </c>
      <c r="N49" s="1329">
        <v>7.8602092468645806</v>
      </c>
      <c r="O49" s="1284">
        <v>8.2597638852724664</v>
      </c>
      <c r="P49" s="1284">
        <v>10.561012026099618</v>
      </c>
      <c r="Q49" s="1305">
        <v>26.731116738859274</v>
      </c>
      <c r="R49" s="1305">
        <v>17.813560183056364</v>
      </c>
      <c r="S49" s="1306">
        <v>12.81569194453113</v>
      </c>
      <c r="T49" s="1298">
        <v>1</v>
      </c>
      <c r="U49" s="1299">
        <v>1</v>
      </c>
      <c r="V49" s="1299">
        <v>1</v>
      </c>
      <c r="W49" s="1299">
        <v>1</v>
      </c>
      <c r="X49" s="1299">
        <v>1</v>
      </c>
      <c r="Y49" s="1300">
        <v>29.112108100867143</v>
      </c>
      <c r="Z49" s="1298">
        <v>0</v>
      </c>
      <c r="AA49" s="1299">
        <v>0</v>
      </c>
      <c r="AB49" s="1299">
        <v>0</v>
      </c>
      <c r="AC49" s="1299">
        <v>267.04160875198448</v>
      </c>
      <c r="AD49" s="1299">
        <v>0</v>
      </c>
      <c r="AE49" s="1300">
        <v>123.34204110798717</v>
      </c>
    </row>
    <row r="50" spans="2:31" ht="13.5" thickBot="1" x14ac:dyDescent="0.25">
      <c r="B50" s="377">
        <v>2035</v>
      </c>
      <c r="C50" s="1271">
        <v>85583.675406596507</v>
      </c>
      <c r="D50" s="1272">
        <v>2969.3397886276944</v>
      </c>
      <c r="E50" s="1272">
        <v>5722.3397886276944</v>
      </c>
      <c r="F50" s="1272">
        <v>100224.33978862769</v>
      </c>
      <c r="G50" s="1272">
        <v>53663.339788627694</v>
      </c>
      <c r="H50" s="1273">
        <v>52835.339788627694</v>
      </c>
      <c r="I50" s="1203">
        <f t="shared" si="6"/>
        <v>0</v>
      </c>
      <c r="J50" s="378">
        <f t="shared" si="6"/>
        <v>0</v>
      </c>
      <c r="K50" s="378">
        <f t="shared" si="6"/>
        <v>0</v>
      </c>
      <c r="L50" s="378">
        <f t="shared" si="6"/>
        <v>0</v>
      </c>
      <c r="M50" s="1208">
        <f t="shared" si="6"/>
        <v>0</v>
      </c>
      <c r="N50" s="1330">
        <v>7.8761901346494616</v>
      </c>
      <c r="O50" s="1290">
        <v>8.3961894064911657</v>
      </c>
      <c r="P50" s="1290">
        <v>10.731752627881656</v>
      </c>
      <c r="Q50" s="1301">
        <v>27.02323889253487</v>
      </c>
      <c r="R50" s="1301">
        <v>18.005526678475846</v>
      </c>
      <c r="S50" s="1302">
        <v>13.014290323252339</v>
      </c>
      <c r="T50" s="1308">
        <v>1</v>
      </c>
      <c r="U50" s="1309">
        <v>1</v>
      </c>
      <c r="V50" s="1309">
        <v>1</v>
      </c>
      <c r="W50" s="1309">
        <v>1</v>
      </c>
      <c r="X50" s="1309">
        <v>1</v>
      </c>
      <c r="Y50" s="1310">
        <v>29.26769494919963</v>
      </c>
      <c r="Z50" s="1308">
        <v>0</v>
      </c>
      <c r="AA50" s="1309">
        <v>0</v>
      </c>
      <c r="AB50" s="1309">
        <v>0</v>
      </c>
      <c r="AC50" s="1309">
        <v>268.07857412149548</v>
      </c>
      <c r="AD50" s="1309">
        <v>0</v>
      </c>
      <c r="AE50" s="1310">
        <v>123.37881472885336</v>
      </c>
    </row>
    <row r="51" spans="2:31" x14ac:dyDescent="0.2">
      <c r="B51" s="379">
        <v>2036</v>
      </c>
      <c r="C51" s="1259">
        <v>85592.950085636796</v>
      </c>
      <c r="D51" s="1260">
        <v>2895.7768629079928</v>
      </c>
      <c r="E51" s="1260">
        <v>5312.5567247782974</v>
      </c>
      <c r="F51" s="1260">
        <v>94214.897784330038</v>
      </c>
      <c r="G51" s="1260">
        <v>50970.191254518912</v>
      </c>
      <c r="H51" s="1261">
        <v>50378.506375252487</v>
      </c>
      <c r="I51" s="1204">
        <f t="shared" si="6"/>
        <v>0</v>
      </c>
      <c r="J51" s="380">
        <f t="shared" si="6"/>
        <v>0</v>
      </c>
      <c r="K51" s="380">
        <f t="shared" si="6"/>
        <v>0</v>
      </c>
      <c r="L51" s="380">
        <f t="shared" si="6"/>
        <v>0</v>
      </c>
      <c r="M51" s="1209">
        <f t="shared" si="6"/>
        <v>0</v>
      </c>
      <c r="N51" s="1326">
        <v>7.8768612391973623</v>
      </c>
      <c r="O51" s="1278">
        <v>8.5301870170009053</v>
      </c>
      <c r="P51" s="1278">
        <v>10.92350634297406</v>
      </c>
      <c r="Q51" s="1311">
        <v>27.357118035121307</v>
      </c>
      <c r="R51" s="1311">
        <v>18.314707421534624</v>
      </c>
      <c r="S51" s="1312">
        <v>13.220853913739502</v>
      </c>
      <c r="T51" s="1280">
        <v>1</v>
      </c>
      <c r="U51" s="1281">
        <v>1</v>
      </c>
      <c r="V51" s="1281">
        <v>1</v>
      </c>
      <c r="W51" s="1281">
        <v>1</v>
      </c>
      <c r="X51" s="1281">
        <v>1</v>
      </c>
      <c r="Y51" s="1282">
        <v>29.534448874524607</v>
      </c>
      <c r="Z51" s="1280">
        <v>0</v>
      </c>
      <c r="AA51" s="1281">
        <v>0</v>
      </c>
      <c r="AB51" s="1281">
        <v>0</v>
      </c>
      <c r="AC51" s="1281">
        <v>266.01054010201784</v>
      </c>
      <c r="AD51" s="1281">
        <v>0</v>
      </c>
      <c r="AE51" s="1282">
        <v>125.42686300793764</v>
      </c>
    </row>
    <row r="52" spans="2:31" x14ac:dyDescent="0.2">
      <c r="B52" s="370">
        <v>2037</v>
      </c>
      <c r="C52" s="1262">
        <v>85609.656476395932</v>
      </c>
      <c r="D52" s="1263">
        <v>2863.2057782587199</v>
      </c>
      <c r="E52" s="1263">
        <v>5131.1191496696956</v>
      </c>
      <c r="F52" s="1263">
        <v>91554.127534888234</v>
      </c>
      <c r="G52" s="1263">
        <v>49777.759496002982</v>
      </c>
      <c r="H52" s="1264">
        <v>49290.706667814069</v>
      </c>
      <c r="I52" s="1201">
        <f t="shared" si="6"/>
        <v>0</v>
      </c>
      <c r="J52" s="371">
        <f t="shared" si="6"/>
        <v>0</v>
      </c>
      <c r="K52" s="371">
        <f t="shared" si="6"/>
        <v>0</v>
      </c>
      <c r="L52" s="371">
        <f t="shared" si="6"/>
        <v>0</v>
      </c>
      <c r="M52" s="1206">
        <f t="shared" si="6"/>
        <v>0</v>
      </c>
      <c r="N52" s="1327">
        <v>7.8780700934087866</v>
      </c>
      <c r="O52" s="1284">
        <v>8.5895164614461006</v>
      </c>
      <c r="P52" s="1284">
        <v>11.008408165801022</v>
      </c>
      <c r="Q52" s="1305">
        <v>27.50494801482122</v>
      </c>
      <c r="R52" s="1305">
        <v>18.451601815763365</v>
      </c>
      <c r="S52" s="1306">
        <v>13.312313030208726</v>
      </c>
      <c r="T52" s="1286">
        <v>1</v>
      </c>
      <c r="U52" s="1287">
        <v>1</v>
      </c>
      <c r="V52" s="1287">
        <v>1</v>
      </c>
      <c r="W52" s="1287">
        <v>1</v>
      </c>
      <c r="X52" s="1287">
        <v>1</v>
      </c>
      <c r="Y52" s="1288">
        <v>29.652558161196968</v>
      </c>
      <c r="Z52" s="1286">
        <v>0</v>
      </c>
      <c r="AA52" s="1287">
        <v>0</v>
      </c>
      <c r="AB52" s="1287">
        <v>0</v>
      </c>
      <c r="AC52" s="1287">
        <v>265.09488713624756</v>
      </c>
      <c r="AD52" s="1287">
        <v>0</v>
      </c>
      <c r="AE52" s="1288">
        <v>126.33366698849203</v>
      </c>
    </row>
    <row r="53" spans="2:31" x14ac:dyDescent="0.2">
      <c r="B53" s="370">
        <v>2038</v>
      </c>
      <c r="C53" s="1262">
        <v>85622.775192988818</v>
      </c>
      <c r="D53" s="1263">
        <v>2818.410980900901</v>
      </c>
      <c r="E53" s="1263">
        <v>4881.5892522898248</v>
      </c>
      <c r="F53" s="1263">
        <v>87894.787803869549</v>
      </c>
      <c r="G53" s="1263">
        <v>48137.815982886335</v>
      </c>
      <c r="H53" s="1264">
        <v>47794.66292271619</v>
      </c>
      <c r="I53" s="1201">
        <f t="shared" si="6"/>
        <v>0</v>
      </c>
      <c r="J53" s="371">
        <f t="shared" si="6"/>
        <v>0</v>
      </c>
      <c r="K53" s="371">
        <f t="shared" si="6"/>
        <v>0</v>
      </c>
      <c r="L53" s="371">
        <f t="shared" si="6"/>
        <v>0</v>
      </c>
      <c r="M53" s="1206">
        <f t="shared" si="6"/>
        <v>0</v>
      </c>
      <c r="N53" s="1327">
        <v>7.8790193478605959</v>
      </c>
      <c r="O53" s="1284">
        <v>8.6711118541047174</v>
      </c>
      <c r="P53" s="1284">
        <v>11.125173081363275</v>
      </c>
      <c r="Q53" s="1305">
        <v>27.708257608449255</v>
      </c>
      <c r="R53" s="1305">
        <v>18.639871770999093</v>
      </c>
      <c r="S53" s="1306">
        <v>13.438096148360287</v>
      </c>
      <c r="T53" s="1286">
        <v>1</v>
      </c>
      <c r="U53" s="1287">
        <v>1</v>
      </c>
      <c r="V53" s="1287">
        <v>1</v>
      </c>
      <c r="W53" s="1287">
        <v>1</v>
      </c>
      <c r="X53" s="1287">
        <v>1</v>
      </c>
      <c r="Y53" s="1288">
        <v>29.814993082217718</v>
      </c>
      <c r="Z53" s="1286">
        <v>0</v>
      </c>
      <c r="AA53" s="1287">
        <v>0</v>
      </c>
      <c r="AB53" s="1287">
        <v>0</v>
      </c>
      <c r="AC53" s="1287">
        <v>263.83559566672994</v>
      </c>
      <c r="AD53" s="1287">
        <v>0</v>
      </c>
      <c r="AE53" s="1288">
        <v>127.58078850715177</v>
      </c>
    </row>
    <row r="54" spans="2:31" x14ac:dyDescent="0.2">
      <c r="B54" s="370">
        <v>2039</v>
      </c>
      <c r="C54" s="1262">
        <v>85637.696981363479</v>
      </c>
      <c r="D54" s="1263">
        <v>2758.8644575475328</v>
      </c>
      <c r="E54" s="1263">
        <v>4549.8847076079164</v>
      </c>
      <c r="F54" s="1263">
        <v>83030.362209744679</v>
      </c>
      <c r="G54" s="1263">
        <v>45957.809811143656</v>
      </c>
      <c r="H54" s="1264">
        <v>45805.94528005043</v>
      </c>
      <c r="I54" s="1201">
        <f t="shared" si="6"/>
        <v>0</v>
      </c>
      <c r="J54" s="371">
        <f t="shared" si="6"/>
        <v>0</v>
      </c>
      <c r="K54" s="371">
        <f t="shared" si="6"/>
        <v>0</v>
      </c>
      <c r="L54" s="371">
        <f t="shared" si="6"/>
        <v>0</v>
      </c>
      <c r="M54" s="1206">
        <f t="shared" si="6"/>
        <v>0</v>
      </c>
      <c r="N54" s="1327">
        <v>7.8800990704038281</v>
      </c>
      <c r="O54" s="1284">
        <v>8.779578065385067</v>
      </c>
      <c r="P54" s="1284">
        <v>11.280390766931575</v>
      </c>
      <c r="Q54" s="1305">
        <v>27.978520678694451</v>
      </c>
      <c r="R54" s="1305">
        <v>18.890142381593236</v>
      </c>
      <c r="S54" s="1306">
        <v>13.605301891532696</v>
      </c>
      <c r="T54" s="1286">
        <v>1</v>
      </c>
      <c r="U54" s="1287">
        <v>1</v>
      </c>
      <c r="V54" s="1287">
        <v>1</v>
      </c>
      <c r="W54" s="1287">
        <v>1</v>
      </c>
      <c r="X54" s="1287">
        <v>1</v>
      </c>
      <c r="Y54" s="1288">
        <v>30.030920720883028</v>
      </c>
      <c r="Z54" s="1286">
        <v>0</v>
      </c>
      <c r="AA54" s="1287">
        <v>0</v>
      </c>
      <c r="AB54" s="1287">
        <v>0</v>
      </c>
      <c r="AC54" s="1287">
        <v>262.16159704811048</v>
      </c>
      <c r="AD54" s="1287">
        <v>0</v>
      </c>
      <c r="AE54" s="1288">
        <v>129.23860939296051</v>
      </c>
    </row>
    <row r="55" spans="2:31" ht="13.5" thickBot="1" x14ac:dyDescent="0.25">
      <c r="B55" s="372">
        <v>2040</v>
      </c>
      <c r="C55" s="1265">
        <v>85657.467554077331</v>
      </c>
      <c r="D55" s="1266">
        <v>2683.1874914687123</v>
      </c>
      <c r="E55" s="1266">
        <v>4128.3253593464224</v>
      </c>
      <c r="F55" s="1266">
        <v>76848.221759747772</v>
      </c>
      <c r="G55" s="1266">
        <v>43187.265977180985</v>
      </c>
      <c r="H55" s="1267">
        <v>43278.507755423605</v>
      </c>
      <c r="I55" s="1202">
        <f t="shared" si="6"/>
        <v>0</v>
      </c>
      <c r="J55" s="373">
        <f t="shared" si="6"/>
        <v>0</v>
      </c>
      <c r="K55" s="373">
        <f t="shared" si="6"/>
        <v>0</v>
      </c>
      <c r="L55" s="373">
        <f t="shared" si="6"/>
        <v>0</v>
      </c>
      <c r="M55" s="1207">
        <f t="shared" si="6"/>
        <v>0</v>
      </c>
      <c r="N55" s="1328">
        <v>7.8815296451121526</v>
      </c>
      <c r="O55" s="1290">
        <v>8.917426479188336</v>
      </c>
      <c r="P55" s="1290">
        <v>11.477655071614461</v>
      </c>
      <c r="Q55" s="1301">
        <v>28.321994790154012</v>
      </c>
      <c r="R55" s="1301">
        <v>19.208208314612769</v>
      </c>
      <c r="S55" s="1302">
        <v>13.817801675594843</v>
      </c>
      <c r="T55" s="1292">
        <v>1</v>
      </c>
      <c r="U55" s="1293">
        <v>1</v>
      </c>
      <c r="V55" s="1293">
        <v>1</v>
      </c>
      <c r="W55" s="1293">
        <v>1</v>
      </c>
      <c r="X55" s="1293">
        <v>1</v>
      </c>
      <c r="Y55" s="1294">
        <v>30.305340580625018</v>
      </c>
      <c r="Z55" s="1292">
        <v>0</v>
      </c>
      <c r="AA55" s="1293">
        <v>0</v>
      </c>
      <c r="AB55" s="1293">
        <v>0</v>
      </c>
      <c r="AC55" s="1293">
        <v>260.03413217622409</v>
      </c>
      <c r="AD55" s="1293">
        <v>0</v>
      </c>
      <c r="AE55" s="1294">
        <v>131.34551417723472</v>
      </c>
    </row>
    <row r="56" spans="2:31" x14ac:dyDescent="0.2">
      <c r="B56" s="379">
        <v>2041</v>
      </c>
      <c r="C56" s="1259">
        <v>85681.324371745257</v>
      </c>
      <c r="D56" s="1260">
        <v>2592.3199103182387</v>
      </c>
      <c r="E56" s="1260">
        <v>3622.1465274942798</v>
      </c>
      <c r="F56" s="1260">
        <v>69425.142081333906</v>
      </c>
      <c r="G56" s="1260">
        <v>39860.591696907373</v>
      </c>
      <c r="H56" s="1261">
        <v>40243.738442227608</v>
      </c>
      <c r="I56" s="1204">
        <f t="shared" si="6"/>
        <v>0</v>
      </c>
      <c r="J56" s="380">
        <f t="shared" si="6"/>
        <v>0</v>
      </c>
      <c r="K56" s="380">
        <f t="shared" si="6"/>
        <v>0</v>
      </c>
      <c r="L56" s="380">
        <f t="shared" si="6"/>
        <v>0</v>
      </c>
      <c r="M56" s="1209">
        <f t="shared" si="6"/>
        <v>0</v>
      </c>
      <c r="N56" s="1326">
        <v>7.8832558955587535</v>
      </c>
      <c r="O56" s="1296">
        <v>9.082945164420595</v>
      </c>
      <c r="P56" s="1296">
        <v>11.714516181971264</v>
      </c>
      <c r="Q56" s="1296">
        <v>28.734414358660903</v>
      </c>
      <c r="R56" s="1296">
        <v>19.59011952851835</v>
      </c>
      <c r="S56" s="1297">
        <v>14.07295647861131</v>
      </c>
      <c r="T56" s="1280">
        <v>1</v>
      </c>
      <c r="U56" s="1281">
        <v>1</v>
      </c>
      <c r="V56" s="1281">
        <v>1</v>
      </c>
      <c r="W56" s="1281">
        <v>1</v>
      </c>
      <c r="X56" s="1281">
        <v>1</v>
      </c>
      <c r="Y56" s="1282">
        <v>30.634844657842319</v>
      </c>
      <c r="Z56" s="1280">
        <v>0</v>
      </c>
      <c r="AA56" s="1281">
        <v>0</v>
      </c>
      <c r="AB56" s="1281">
        <v>0</v>
      </c>
      <c r="AC56" s="1281">
        <v>257.47962190833653</v>
      </c>
      <c r="AD56" s="1281">
        <v>0</v>
      </c>
      <c r="AE56" s="1282">
        <v>133.87533733719008</v>
      </c>
    </row>
    <row r="57" spans="2:31" x14ac:dyDescent="0.2">
      <c r="B57" s="370">
        <v>2042</v>
      </c>
      <c r="C57" s="1262">
        <v>85709.960163232812</v>
      </c>
      <c r="D57" s="1263">
        <v>2490.3654636028668</v>
      </c>
      <c r="E57" s="1263">
        <v>3054.2081925334464</v>
      </c>
      <c r="F57" s="1263">
        <v>61096.363302865648</v>
      </c>
      <c r="G57" s="1263">
        <v>36128.025787775332</v>
      </c>
      <c r="H57" s="1264">
        <v>36838.693184961274</v>
      </c>
      <c r="I57" s="1201">
        <f t="shared" si="6"/>
        <v>0</v>
      </c>
      <c r="J57" s="371">
        <f t="shared" si="6"/>
        <v>0</v>
      </c>
      <c r="K57" s="371">
        <f t="shared" si="6"/>
        <v>0</v>
      </c>
      <c r="L57" s="371">
        <f t="shared" si="6"/>
        <v>0</v>
      </c>
      <c r="M57" s="1206">
        <f t="shared" si="6"/>
        <v>0</v>
      </c>
      <c r="N57" s="1327">
        <v>7.8853279467657602</v>
      </c>
      <c r="O57" s="1284">
        <v>9.2686589884296851</v>
      </c>
      <c r="P57" s="1284">
        <v>11.980277008319515</v>
      </c>
      <c r="Q57" s="1284">
        <v>29.197153747003181</v>
      </c>
      <c r="R57" s="1284">
        <v>20.018628200314726</v>
      </c>
      <c r="S57" s="1285">
        <v>14.359243033606482</v>
      </c>
      <c r="T57" s="1286">
        <v>1</v>
      </c>
      <c r="U57" s="1287">
        <v>1</v>
      </c>
      <c r="V57" s="1287">
        <v>1</v>
      </c>
      <c r="W57" s="1287">
        <v>1</v>
      </c>
      <c r="X57" s="1287">
        <v>1</v>
      </c>
      <c r="Y57" s="1288">
        <v>31.004551933614497</v>
      </c>
      <c r="Z57" s="1286">
        <v>0</v>
      </c>
      <c r="AA57" s="1287">
        <v>0</v>
      </c>
      <c r="AB57" s="1287">
        <v>0</v>
      </c>
      <c r="AC57" s="1287">
        <v>254.6134326943866</v>
      </c>
      <c r="AD57" s="1287">
        <v>0</v>
      </c>
      <c r="AE57" s="1288">
        <v>136.71382733874373</v>
      </c>
    </row>
    <row r="58" spans="2:31" x14ac:dyDescent="0.2">
      <c r="B58" s="370">
        <v>2043</v>
      </c>
      <c r="C58" s="1262">
        <v>85743.635539164228</v>
      </c>
      <c r="D58" s="1263">
        <v>2384.3192269544652</v>
      </c>
      <c r="E58" s="1263">
        <v>2463.4764980238861</v>
      </c>
      <c r="F58" s="1263">
        <v>52433.321387691685</v>
      </c>
      <c r="G58" s="1263">
        <v>32245.658902781968</v>
      </c>
      <c r="H58" s="1264">
        <v>33296.991505596015</v>
      </c>
      <c r="I58" s="1201">
        <f t="shared" si="6"/>
        <v>0</v>
      </c>
      <c r="J58" s="371">
        <f t="shared" si="6"/>
        <v>0</v>
      </c>
      <c r="K58" s="371">
        <f t="shared" si="6"/>
        <v>0</v>
      </c>
      <c r="L58" s="371">
        <f t="shared" si="6"/>
        <v>0</v>
      </c>
      <c r="M58" s="1206">
        <f t="shared" si="6"/>
        <v>0</v>
      </c>
      <c r="N58" s="1327">
        <v>7.8877646562024601</v>
      </c>
      <c r="O58" s="1284">
        <v>9.4618261602817224</v>
      </c>
      <c r="P58" s="1284">
        <v>12.256703749778673</v>
      </c>
      <c r="Q58" s="1284">
        <v>29.678464491787828</v>
      </c>
      <c r="R58" s="1284">
        <v>20.464334429706291</v>
      </c>
      <c r="S58" s="1285">
        <v>14.657019273273885</v>
      </c>
      <c r="T58" s="1286">
        <v>1</v>
      </c>
      <c r="U58" s="1287">
        <v>1</v>
      </c>
      <c r="V58" s="1287">
        <v>1</v>
      </c>
      <c r="W58" s="1287">
        <v>1</v>
      </c>
      <c r="X58" s="1287">
        <v>1</v>
      </c>
      <c r="Y58" s="1288">
        <v>31.389096860493698</v>
      </c>
      <c r="Z58" s="1286">
        <v>0</v>
      </c>
      <c r="AA58" s="1287">
        <v>0</v>
      </c>
      <c r="AB58" s="1287">
        <v>0</v>
      </c>
      <c r="AC58" s="1287">
        <v>251.63221324340793</v>
      </c>
      <c r="AD58" s="1287">
        <v>0</v>
      </c>
      <c r="AE58" s="1288">
        <v>139.66623591067409</v>
      </c>
    </row>
    <row r="59" spans="2:31" x14ac:dyDescent="0.2">
      <c r="B59" s="370">
        <v>2044</v>
      </c>
      <c r="C59" s="1262">
        <v>85795.662549105444</v>
      </c>
      <c r="D59" s="1263">
        <v>2282.3647802390942</v>
      </c>
      <c r="E59" s="1263">
        <v>1895.5381630630527</v>
      </c>
      <c r="F59" s="1263">
        <v>44104.542609223434</v>
      </c>
      <c r="G59" s="1263">
        <v>28513.09299364996</v>
      </c>
      <c r="H59" s="1264">
        <v>29891.946248329699</v>
      </c>
      <c r="I59" s="1201">
        <f t="shared" si="6"/>
        <v>0</v>
      </c>
      <c r="J59" s="371">
        <f t="shared" si="6"/>
        <v>0</v>
      </c>
      <c r="K59" s="371">
        <f t="shared" si="6"/>
        <v>0</v>
      </c>
      <c r="L59" s="371">
        <f t="shared" si="6"/>
        <v>0</v>
      </c>
      <c r="M59" s="1206">
        <f t="shared" si="6"/>
        <v>0</v>
      </c>
      <c r="N59" s="1327">
        <v>7.8915292676605535</v>
      </c>
      <c r="O59" s="1284">
        <v>9.6475399842908107</v>
      </c>
      <c r="P59" s="1284">
        <v>12.522464576126923</v>
      </c>
      <c r="Q59" s="1284">
        <v>30.141203880130107</v>
      </c>
      <c r="R59" s="1284">
        <v>20.892843101502663</v>
      </c>
      <c r="S59" s="1285">
        <v>14.943305828269056</v>
      </c>
      <c r="T59" s="1286">
        <v>1</v>
      </c>
      <c r="U59" s="1287">
        <v>1</v>
      </c>
      <c r="V59" s="1287">
        <v>1</v>
      </c>
      <c r="W59" s="1287">
        <v>1</v>
      </c>
      <c r="X59" s="1287">
        <v>1</v>
      </c>
      <c r="Y59" s="1288">
        <v>31.758804136265873</v>
      </c>
      <c r="Z59" s="1286">
        <v>0</v>
      </c>
      <c r="AA59" s="1287">
        <v>0</v>
      </c>
      <c r="AB59" s="1287">
        <v>0</v>
      </c>
      <c r="AC59" s="1287">
        <v>248.76602402945798</v>
      </c>
      <c r="AD59" s="1287">
        <v>0</v>
      </c>
      <c r="AE59" s="1288">
        <v>142.50472591222771</v>
      </c>
    </row>
    <row r="60" spans="2:31" ht="13.5" thickBot="1" x14ac:dyDescent="0.25">
      <c r="B60" s="372">
        <v>2045</v>
      </c>
      <c r="C60" s="1265">
        <v>85840.06316262063</v>
      </c>
      <c r="D60" s="1266">
        <v>2191.4971990886206</v>
      </c>
      <c r="E60" s="1266">
        <v>1389.3593312109106</v>
      </c>
      <c r="F60" s="1266">
        <v>36681.462930809561</v>
      </c>
      <c r="G60" s="1266">
        <v>25186.418713376344</v>
      </c>
      <c r="H60" s="1267">
        <v>26857.176935133706</v>
      </c>
      <c r="I60" s="1202">
        <f t="shared" si="6"/>
        <v>0</v>
      </c>
      <c r="J60" s="373">
        <f t="shared" si="6"/>
        <v>0</v>
      </c>
      <c r="K60" s="373">
        <f t="shared" si="6"/>
        <v>0</v>
      </c>
      <c r="L60" s="373">
        <f t="shared" si="6"/>
        <v>0</v>
      </c>
      <c r="M60" s="1207">
        <f t="shared" si="6"/>
        <v>0</v>
      </c>
      <c r="N60" s="1328">
        <v>7.8947420423053876</v>
      </c>
      <c r="O60" s="1290">
        <v>9.8130586695230697</v>
      </c>
      <c r="P60" s="1290">
        <v>12.759325686483727</v>
      </c>
      <c r="Q60" s="1290">
        <v>30.553623448636998</v>
      </c>
      <c r="R60" s="1290">
        <v>21.274754315408245</v>
      </c>
      <c r="S60" s="1291">
        <v>15.198460631285522</v>
      </c>
      <c r="T60" s="1292">
        <v>1</v>
      </c>
      <c r="U60" s="1293">
        <v>1</v>
      </c>
      <c r="V60" s="1293">
        <v>1</v>
      </c>
      <c r="W60" s="1293">
        <v>1</v>
      </c>
      <c r="X60" s="1293">
        <v>1</v>
      </c>
      <c r="Y60" s="1294">
        <v>32.088308213483167</v>
      </c>
      <c r="Z60" s="1292">
        <v>0</v>
      </c>
      <c r="AA60" s="1293">
        <v>0</v>
      </c>
      <c r="AB60" s="1293">
        <v>0</v>
      </c>
      <c r="AC60" s="1293">
        <v>246.21151376157047</v>
      </c>
      <c r="AD60" s="1293">
        <v>0</v>
      </c>
      <c r="AE60" s="1294">
        <v>145.0345490721831</v>
      </c>
    </row>
    <row r="61" spans="2:31" x14ac:dyDescent="0.2">
      <c r="B61" s="379">
        <v>2046</v>
      </c>
      <c r="C61" s="1259">
        <v>85889.743659015017</v>
      </c>
      <c r="D61" s="1260">
        <v>2115.8202330098011</v>
      </c>
      <c r="E61" s="1260">
        <v>967.79998294941925</v>
      </c>
      <c r="F61" s="1260">
        <v>30499.322480812902</v>
      </c>
      <c r="G61" s="1260">
        <v>22415.874879413739</v>
      </c>
      <c r="H61" s="1261">
        <v>24329.739410506987</v>
      </c>
      <c r="I61" s="1204">
        <f t="shared" si="6"/>
        <v>0</v>
      </c>
      <c r="J61" s="380">
        <f t="shared" si="6"/>
        <v>0</v>
      </c>
      <c r="K61" s="380">
        <f t="shared" si="6"/>
        <v>0</v>
      </c>
      <c r="L61" s="380">
        <f t="shared" si="6"/>
        <v>0</v>
      </c>
      <c r="M61" s="1209">
        <f t="shared" si="6"/>
        <v>0</v>
      </c>
      <c r="N61" s="1326">
        <v>7.8983368628838031</v>
      </c>
      <c r="O61" s="1278">
        <v>9.9509070833263369</v>
      </c>
      <c r="P61" s="1278">
        <v>12.956589991166611</v>
      </c>
      <c r="Q61" s="1278">
        <v>30.897097560096544</v>
      </c>
      <c r="R61" s="1278">
        <v>21.59282024842777</v>
      </c>
      <c r="S61" s="1279">
        <v>15.410960415347661</v>
      </c>
      <c r="T61" s="1280">
        <v>1</v>
      </c>
      <c r="U61" s="1281">
        <v>1</v>
      </c>
      <c r="V61" s="1281">
        <v>1</v>
      </c>
      <c r="W61" s="1281">
        <v>1</v>
      </c>
      <c r="X61" s="1281">
        <v>1</v>
      </c>
      <c r="Y61" s="1282">
        <v>32.362728073225156</v>
      </c>
      <c r="Z61" s="1280">
        <v>0</v>
      </c>
      <c r="AA61" s="1281">
        <v>0</v>
      </c>
      <c r="AB61" s="1281">
        <v>0</v>
      </c>
      <c r="AC61" s="1281">
        <v>244.08404888968403</v>
      </c>
      <c r="AD61" s="1281">
        <v>0</v>
      </c>
      <c r="AE61" s="1282">
        <v>147.1414538564573</v>
      </c>
    </row>
    <row r="62" spans="2:31" x14ac:dyDescent="0.2">
      <c r="B62" s="370">
        <v>2047</v>
      </c>
      <c r="C62" s="1262">
        <v>85958.37804353307</v>
      </c>
      <c r="D62" s="1263">
        <v>2056.2737096564329</v>
      </c>
      <c r="E62" s="1263">
        <v>636.09543826750723</v>
      </c>
      <c r="F62" s="1263">
        <v>25634.896886687784</v>
      </c>
      <c r="G62" s="1263">
        <v>20235.868707671027</v>
      </c>
      <c r="H62" s="1264">
        <v>22341.021767841143</v>
      </c>
      <c r="I62" s="1201">
        <f t="shared" si="6"/>
        <v>0</v>
      </c>
      <c r="J62" s="371">
        <f t="shared" si="6"/>
        <v>0</v>
      </c>
      <c r="K62" s="371">
        <f t="shared" si="6"/>
        <v>0</v>
      </c>
      <c r="L62" s="371">
        <f t="shared" si="6"/>
        <v>0</v>
      </c>
      <c r="M62" s="1206">
        <f t="shared" si="6"/>
        <v>0</v>
      </c>
      <c r="N62" s="1327">
        <v>7.9033031638622333</v>
      </c>
      <c r="O62" s="1284">
        <v>10.059373294606686</v>
      </c>
      <c r="P62" s="1284">
        <v>13.111807676734912</v>
      </c>
      <c r="Q62" s="1284">
        <v>31.167360630341754</v>
      </c>
      <c r="R62" s="1284">
        <v>21.843090859021917</v>
      </c>
      <c r="S62" s="1285">
        <v>15.578166158520077</v>
      </c>
      <c r="T62" s="1286">
        <v>1</v>
      </c>
      <c r="U62" s="1287">
        <v>1</v>
      </c>
      <c r="V62" s="1287">
        <v>1</v>
      </c>
      <c r="W62" s="1287">
        <v>1</v>
      </c>
      <c r="X62" s="1287">
        <v>1</v>
      </c>
      <c r="Y62" s="1288">
        <v>32.578655711890462</v>
      </c>
      <c r="Z62" s="1286">
        <v>0</v>
      </c>
      <c r="AA62" s="1287">
        <v>0</v>
      </c>
      <c r="AB62" s="1287">
        <v>0</v>
      </c>
      <c r="AC62" s="1287">
        <v>242.41005027106456</v>
      </c>
      <c r="AD62" s="1287">
        <v>0</v>
      </c>
      <c r="AE62" s="1288">
        <v>148.79927474226605</v>
      </c>
    </row>
    <row r="63" spans="2:31" x14ac:dyDescent="0.2">
      <c r="B63" s="370">
        <v>2048</v>
      </c>
      <c r="C63" s="1262">
        <v>86021.298210097433</v>
      </c>
      <c r="D63" s="1263">
        <v>2011.478912298614</v>
      </c>
      <c r="E63" s="1263">
        <v>386.5655408876446</v>
      </c>
      <c r="F63" s="1263">
        <v>21975.55715566923</v>
      </c>
      <c r="G63" s="1263">
        <v>18595.925194554351</v>
      </c>
      <c r="H63" s="1264">
        <v>20844.978022743286</v>
      </c>
      <c r="I63" s="1201">
        <f t="shared" si="6"/>
        <v>0</v>
      </c>
      <c r="J63" s="371">
        <f t="shared" si="6"/>
        <v>0</v>
      </c>
      <c r="K63" s="371">
        <f t="shared" si="6"/>
        <v>0</v>
      </c>
      <c r="L63" s="371">
        <f t="shared" si="6"/>
        <v>0</v>
      </c>
      <c r="M63" s="1206">
        <f t="shared" si="6"/>
        <v>0</v>
      </c>
      <c r="N63" s="1327">
        <v>7.9078559909468771</v>
      </c>
      <c r="O63" s="1284">
        <v>10.140968687265303</v>
      </c>
      <c r="P63" s="1284">
        <v>13.228572592297162</v>
      </c>
      <c r="Q63" s="1284">
        <v>31.370670223969782</v>
      </c>
      <c r="R63" s="1284">
        <v>22.031360814257649</v>
      </c>
      <c r="S63" s="1285">
        <v>15.703949276671636</v>
      </c>
      <c r="T63" s="1286">
        <v>1</v>
      </c>
      <c r="U63" s="1287">
        <v>1</v>
      </c>
      <c r="V63" s="1287">
        <v>1</v>
      </c>
      <c r="W63" s="1287">
        <v>1</v>
      </c>
      <c r="X63" s="1287">
        <v>1</v>
      </c>
      <c r="Y63" s="1288">
        <v>32.741090632911217</v>
      </c>
      <c r="Z63" s="1286">
        <v>0</v>
      </c>
      <c r="AA63" s="1287">
        <v>0</v>
      </c>
      <c r="AB63" s="1287">
        <v>0</v>
      </c>
      <c r="AC63" s="1287">
        <v>241.150758801547</v>
      </c>
      <c r="AD63" s="1287">
        <v>0</v>
      </c>
      <c r="AE63" s="1288">
        <v>150.04639626092577</v>
      </c>
    </row>
    <row r="64" spans="2:31" x14ac:dyDescent="0.2">
      <c r="B64" s="370">
        <v>2049</v>
      </c>
      <c r="C64" s="1262">
        <v>86093.727674994632</v>
      </c>
      <c r="D64" s="1263">
        <v>1978.9078276493401</v>
      </c>
      <c r="E64" s="1263">
        <v>205.12796577903191</v>
      </c>
      <c r="F64" s="1263">
        <v>19314.786906227353</v>
      </c>
      <c r="G64" s="1263">
        <v>17403.493436038385</v>
      </c>
      <c r="H64" s="1264">
        <v>19757.178315304824</v>
      </c>
      <c r="I64" s="1201">
        <f t="shared" si="6"/>
        <v>0</v>
      </c>
      <c r="J64" s="371">
        <f t="shared" si="6"/>
        <v>0</v>
      </c>
      <c r="K64" s="371">
        <f t="shared" si="6"/>
        <v>0</v>
      </c>
      <c r="L64" s="371">
        <f t="shared" si="6"/>
        <v>0</v>
      </c>
      <c r="M64" s="1206">
        <f t="shared" si="6"/>
        <v>0</v>
      </c>
      <c r="N64" s="1327">
        <v>7.9130968993474111</v>
      </c>
      <c r="O64" s="1284">
        <v>10.2002981317105</v>
      </c>
      <c r="P64" s="1284">
        <v>13.31347441512413</v>
      </c>
      <c r="Q64" s="1284">
        <v>31.518500203669699</v>
      </c>
      <c r="R64" s="1284">
        <v>22.168255208486393</v>
      </c>
      <c r="S64" s="1285">
        <v>15.795408393140864</v>
      </c>
      <c r="T64" s="1286">
        <v>1</v>
      </c>
      <c r="U64" s="1287">
        <v>1</v>
      </c>
      <c r="V64" s="1287">
        <v>1</v>
      </c>
      <c r="W64" s="1287">
        <v>1</v>
      </c>
      <c r="X64" s="1287">
        <v>1</v>
      </c>
      <c r="Y64" s="1288">
        <v>32.859199919583581</v>
      </c>
      <c r="Z64" s="1286">
        <v>0</v>
      </c>
      <c r="AA64" s="1287">
        <v>0</v>
      </c>
      <c r="AB64" s="1287">
        <v>0</v>
      </c>
      <c r="AC64" s="1287">
        <v>240.23510583577672</v>
      </c>
      <c r="AD64" s="1287">
        <v>0</v>
      </c>
      <c r="AE64" s="1288">
        <v>150.95320024148018</v>
      </c>
    </row>
    <row r="65" spans="2:31" ht="13.5" thickBot="1" x14ac:dyDescent="0.25">
      <c r="B65" s="372">
        <v>2050</v>
      </c>
      <c r="C65" s="1265">
        <v>86177.543364322046</v>
      </c>
      <c r="D65" s="1266">
        <v>1905.3449019296386</v>
      </c>
      <c r="E65" s="1505">
        <v>200</v>
      </c>
      <c r="F65" s="1266">
        <v>13305.344901929639</v>
      </c>
      <c r="G65" s="1266">
        <v>14710.344901929639</v>
      </c>
      <c r="H65" s="1267">
        <v>17300.344901929639</v>
      </c>
      <c r="I65" s="1202">
        <f t="shared" si="6"/>
        <v>0</v>
      </c>
      <c r="J65" s="373">
        <f t="shared" si="6"/>
        <v>0</v>
      </c>
      <c r="K65" s="373">
        <f t="shared" si="6"/>
        <v>0</v>
      </c>
      <c r="L65" s="373">
        <f t="shared" si="6"/>
        <v>0</v>
      </c>
      <c r="M65" s="1207">
        <f t="shared" si="6"/>
        <v>0</v>
      </c>
      <c r="N65" s="1328">
        <v>7.919161701164132</v>
      </c>
      <c r="O65" s="1290">
        <v>10.33429574222024</v>
      </c>
      <c r="P65" s="1290">
        <v>13.505228130216532</v>
      </c>
      <c r="Q65" s="1301">
        <v>31.852379346256139</v>
      </c>
      <c r="R65" s="1301">
        <v>22.477435951545168</v>
      </c>
      <c r="S65" s="1302">
        <v>16.001971983628025</v>
      </c>
      <c r="T65" s="1292">
        <v>1</v>
      </c>
      <c r="U65" s="1293">
        <v>1</v>
      </c>
      <c r="V65" s="1293">
        <v>1</v>
      </c>
      <c r="W65" s="1293">
        <v>1</v>
      </c>
      <c r="X65" s="1293">
        <v>1</v>
      </c>
      <c r="Y65" s="1294">
        <v>33.125953844908558</v>
      </c>
      <c r="Z65" s="1292">
        <v>0</v>
      </c>
      <c r="AA65" s="1293">
        <v>0</v>
      </c>
      <c r="AB65" s="1293">
        <v>0</v>
      </c>
      <c r="AC65" s="1293">
        <v>238.16707181629906</v>
      </c>
      <c r="AD65" s="1293">
        <v>0</v>
      </c>
      <c r="AE65" s="1294">
        <v>153.00124852056445</v>
      </c>
    </row>
    <row r="66" spans="2:31" ht="13.5" thickBot="1" x14ac:dyDescent="0.25">
      <c r="C66" s="344"/>
      <c r="D66" s="344"/>
      <c r="F66" s="344"/>
    </row>
    <row r="67" spans="2:31" ht="13.5" thickBot="1" x14ac:dyDescent="0.25">
      <c r="B67" s="383"/>
      <c r="C67" s="384"/>
      <c r="D67" s="344"/>
      <c r="F67" s="344"/>
    </row>
    <row r="68" spans="2:31" x14ac:dyDescent="0.2">
      <c r="F68" s="381"/>
      <c r="G68" s="382"/>
      <c r="H68" s="381"/>
      <c r="I68" s="381"/>
      <c r="J68" s="381"/>
      <c r="K68" s="381"/>
      <c r="L68" s="381"/>
      <c r="M68" s="381"/>
      <c r="N68" s="381"/>
      <c r="O68" s="381"/>
      <c r="P68" s="381"/>
    </row>
    <row r="69" spans="2:31" x14ac:dyDescent="0.2">
      <c r="D69" s="384"/>
      <c r="F69" s="381"/>
      <c r="G69" s="382"/>
      <c r="H69" s="381"/>
      <c r="I69" s="381"/>
      <c r="J69" s="381"/>
      <c r="K69" s="381"/>
      <c r="L69" s="381"/>
      <c r="M69" s="381"/>
      <c r="N69" s="381"/>
      <c r="O69" s="381"/>
      <c r="P69" s="381"/>
    </row>
    <row r="70" spans="2:31" x14ac:dyDescent="0.2">
      <c r="B70" s="385"/>
      <c r="F70" s="381"/>
      <c r="G70" s="382"/>
      <c r="H70" s="381"/>
      <c r="I70" s="381"/>
      <c r="J70" s="381"/>
      <c r="K70" s="381"/>
      <c r="L70" s="381"/>
      <c r="M70" s="381"/>
      <c r="N70" s="381"/>
      <c r="O70" s="381"/>
      <c r="P70" s="381"/>
    </row>
    <row r="71" spans="2:31" x14ac:dyDescent="0.2">
      <c r="B71" s="385"/>
      <c r="C71" s="385"/>
      <c r="D71" s="385"/>
      <c r="F71" s="381"/>
      <c r="G71" s="382"/>
      <c r="H71" s="381"/>
      <c r="I71" s="381"/>
      <c r="J71" s="381"/>
      <c r="K71" s="381"/>
      <c r="L71" s="381"/>
      <c r="M71" s="381"/>
      <c r="N71" s="381"/>
      <c r="O71" s="381"/>
      <c r="P71" s="381"/>
    </row>
    <row r="72" spans="2:31" x14ac:dyDescent="0.2">
      <c r="F72" s="381"/>
      <c r="G72" s="382"/>
      <c r="H72" s="381"/>
      <c r="I72" s="381"/>
      <c r="J72" s="381"/>
      <c r="K72" s="381"/>
      <c r="L72" s="381"/>
      <c r="M72" s="381"/>
      <c r="N72" s="381"/>
      <c r="O72" s="381"/>
      <c r="P72" s="381"/>
    </row>
    <row r="73" spans="2:31" x14ac:dyDescent="0.2">
      <c r="F73" s="381"/>
      <c r="G73" s="382"/>
      <c r="H73" s="381"/>
      <c r="I73" s="381"/>
      <c r="J73" s="381"/>
      <c r="K73" s="381"/>
      <c r="L73" s="381"/>
      <c r="M73" s="381"/>
      <c r="N73" s="381"/>
      <c r="O73" s="381"/>
      <c r="P73" s="381"/>
    </row>
    <row r="74" spans="2:31" x14ac:dyDescent="0.2">
      <c r="F74" s="381"/>
      <c r="G74" s="382"/>
      <c r="H74" s="381"/>
      <c r="I74" s="381"/>
      <c r="J74" s="381"/>
      <c r="K74" s="381"/>
      <c r="L74" s="381"/>
      <c r="M74" s="381"/>
      <c r="N74" s="381"/>
      <c r="O74" s="381"/>
      <c r="P74" s="381"/>
    </row>
    <row r="75" spans="2:31" x14ac:dyDescent="0.2">
      <c r="F75" s="381"/>
      <c r="G75" s="382"/>
      <c r="H75" s="381"/>
      <c r="I75" s="381"/>
      <c r="J75" s="381"/>
      <c r="K75" s="381"/>
      <c r="L75" s="381"/>
      <c r="M75" s="381"/>
      <c r="N75" s="381"/>
      <c r="O75" s="381"/>
      <c r="P75" s="381"/>
    </row>
    <row r="76" spans="2:31" x14ac:dyDescent="0.2">
      <c r="F76" s="381"/>
      <c r="G76" s="382"/>
      <c r="H76" s="381"/>
      <c r="I76" s="381"/>
      <c r="J76" s="381"/>
      <c r="K76" s="381"/>
      <c r="L76" s="381"/>
      <c r="M76" s="381"/>
      <c r="N76" s="381"/>
      <c r="O76" s="381"/>
      <c r="P76" s="381"/>
    </row>
    <row r="77" spans="2:31" x14ac:dyDescent="0.2">
      <c r="F77" s="381"/>
      <c r="G77" s="382"/>
      <c r="H77" s="381"/>
      <c r="I77" s="381"/>
      <c r="J77" s="381"/>
      <c r="K77" s="381"/>
      <c r="L77" s="381"/>
      <c r="M77" s="381"/>
      <c r="N77" s="381"/>
      <c r="O77" s="381"/>
      <c r="P77" s="381"/>
    </row>
    <row r="78" spans="2:31" x14ac:dyDescent="0.2">
      <c r="F78" s="381"/>
      <c r="G78" s="382"/>
      <c r="H78" s="381"/>
      <c r="I78" s="381"/>
      <c r="J78" s="381"/>
      <c r="K78" s="381"/>
      <c r="L78" s="381"/>
      <c r="M78" s="381"/>
      <c r="N78" s="381"/>
      <c r="O78" s="381"/>
      <c r="P78" s="381"/>
    </row>
    <row r="79" spans="2:31" x14ac:dyDescent="0.2">
      <c r="F79" s="381"/>
      <c r="G79" s="382"/>
      <c r="H79" s="381"/>
      <c r="I79" s="381"/>
      <c r="J79" s="381"/>
      <c r="K79" s="381"/>
      <c r="L79" s="381"/>
      <c r="M79" s="381"/>
      <c r="N79" s="381"/>
      <c r="O79" s="381"/>
      <c r="P79" s="381"/>
    </row>
    <row r="80" spans="2:31" x14ac:dyDescent="0.2">
      <c r="F80" s="381"/>
      <c r="G80" s="382"/>
      <c r="H80" s="381"/>
      <c r="I80" s="381"/>
      <c r="J80" s="381"/>
      <c r="K80" s="381"/>
      <c r="L80" s="381"/>
      <c r="M80" s="381"/>
      <c r="N80" s="381"/>
      <c r="O80" s="381"/>
      <c r="P80" s="381"/>
    </row>
    <row r="81" spans="6:16" x14ac:dyDescent="0.2">
      <c r="F81" s="381"/>
      <c r="G81" s="382"/>
      <c r="H81" s="381"/>
      <c r="I81" s="381"/>
      <c r="J81" s="381"/>
      <c r="K81" s="381"/>
      <c r="L81" s="381"/>
      <c r="M81" s="381"/>
      <c r="N81" s="381"/>
      <c r="O81" s="381"/>
      <c r="P81" s="381"/>
    </row>
    <row r="82" spans="6:16" x14ac:dyDescent="0.2">
      <c r="F82" s="381"/>
      <c r="G82" s="382"/>
      <c r="H82" s="381"/>
      <c r="I82" s="381"/>
      <c r="J82" s="381"/>
      <c r="K82" s="381"/>
      <c r="L82" s="381"/>
      <c r="M82" s="381"/>
      <c r="N82" s="381"/>
      <c r="O82" s="381"/>
      <c r="P82" s="381"/>
    </row>
    <row r="83" spans="6:16" x14ac:dyDescent="0.2">
      <c r="F83" s="381"/>
      <c r="G83" s="382"/>
      <c r="H83" s="381"/>
      <c r="I83" s="381"/>
      <c r="J83" s="381"/>
      <c r="K83" s="381"/>
      <c r="L83" s="381"/>
      <c r="M83" s="381"/>
      <c r="N83" s="381"/>
      <c r="O83" s="381"/>
      <c r="P83" s="381"/>
    </row>
    <row r="84" spans="6:16" x14ac:dyDescent="0.2">
      <c r="F84" s="381"/>
      <c r="G84" s="382"/>
      <c r="H84" s="381"/>
      <c r="I84" s="381"/>
      <c r="J84" s="381"/>
      <c r="K84" s="381"/>
      <c r="L84" s="381"/>
      <c r="M84" s="381"/>
      <c r="N84" s="381"/>
      <c r="O84" s="381"/>
      <c r="P84" s="381"/>
    </row>
    <row r="85" spans="6:16" x14ac:dyDescent="0.2">
      <c r="F85" s="381"/>
      <c r="G85" s="382"/>
      <c r="H85" s="381"/>
      <c r="I85" s="381"/>
      <c r="J85" s="381"/>
      <c r="K85" s="381"/>
      <c r="L85" s="381"/>
      <c r="M85" s="381"/>
      <c r="N85" s="381"/>
      <c r="O85" s="381"/>
      <c r="P85" s="381"/>
    </row>
    <row r="86" spans="6:16" x14ac:dyDescent="0.2">
      <c r="F86" s="381"/>
      <c r="G86" s="382"/>
      <c r="H86" s="381"/>
      <c r="I86" s="381"/>
      <c r="J86" s="381"/>
      <c r="K86" s="381"/>
      <c r="L86" s="381"/>
      <c r="M86" s="381"/>
      <c r="N86" s="381"/>
      <c r="O86" s="381"/>
      <c r="P86" s="381"/>
    </row>
    <row r="87" spans="6:16" x14ac:dyDescent="0.2">
      <c r="F87" s="381"/>
      <c r="G87" s="382"/>
      <c r="H87" s="381"/>
      <c r="I87" s="381"/>
      <c r="J87" s="381"/>
      <c r="K87" s="381"/>
      <c r="L87" s="381"/>
      <c r="M87" s="381"/>
      <c r="N87" s="381"/>
      <c r="O87" s="381"/>
      <c r="P87" s="381"/>
    </row>
    <row r="88" spans="6:16" x14ac:dyDescent="0.2">
      <c r="F88" s="381"/>
      <c r="G88" s="382"/>
      <c r="H88" s="381"/>
      <c r="I88" s="381"/>
      <c r="J88" s="381"/>
      <c r="K88" s="381"/>
      <c r="L88" s="381"/>
      <c r="M88" s="381"/>
      <c r="N88" s="381"/>
      <c r="O88" s="381"/>
      <c r="P88" s="381"/>
    </row>
    <row r="89" spans="6:16" x14ac:dyDescent="0.2">
      <c r="F89" s="381"/>
      <c r="G89" s="382"/>
      <c r="H89" s="381"/>
      <c r="I89" s="381"/>
      <c r="J89" s="381"/>
      <c r="K89" s="381"/>
      <c r="L89" s="381"/>
      <c r="M89" s="381"/>
      <c r="N89" s="381"/>
      <c r="O89" s="381"/>
      <c r="P89" s="381"/>
    </row>
    <row r="90" spans="6:16" x14ac:dyDescent="0.2">
      <c r="F90" s="381"/>
      <c r="G90" s="382"/>
      <c r="H90" s="381"/>
      <c r="I90" s="381"/>
      <c r="J90" s="381"/>
      <c r="K90" s="381"/>
      <c r="L90" s="381"/>
      <c r="M90" s="381"/>
      <c r="N90" s="381"/>
      <c r="O90" s="381"/>
      <c r="P90" s="381"/>
    </row>
    <row r="91" spans="6:16" x14ac:dyDescent="0.2">
      <c r="F91" s="381"/>
      <c r="G91" s="382"/>
      <c r="H91" s="381"/>
      <c r="I91" s="381"/>
      <c r="J91" s="381"/>
      <c r="K91" s="381"/>
      <c r="L91" s="381"/>
      <c r="M91" s="381"/>
      <c r="N91" s="381"/>
      <c r="O91" s="381"/>
      <c r="P91" s="381"/>
    </row>
    <row r="92" spans="6:16" x14ac:dyDescent="0.2">
      <c r="F92" s="381"/>
      <c r="G92" s="382"/>
      <c r="H92" s="381"/>
      <c r="I92" s="381"/>
      <c r="J92" s="381"/>
      <c r="K92" s="381"/>
      <c r="L92" s="381"/>
      <c r="M92" s="381"/>
      <c r="N92" s="381"/>
      <c r="O92" s="381"/>
      <c r="P92" s="381"/>
    </row>
    <row r="93" spans="6:16" x14ac:dyDescent="0.2">
      <c r="F93" s="381"/>
      <c r="G93" s="382"/>
      <c r="H93" s="381"/>
      <c r="I93" s="381"/>
      <c r="J93" s="381"/>
      <c r="K93" s="381"/>
      <c r="L93" s="381"/>
      <c r="M93" s="381"/>
      <c r="N93" s="381"/>
      <c r="O93" s="381"/>
      <c r="P93" s="381"/>
    </row>
    <row r="94" spans="6:16" x14ac:dyDescent="0.2">
      <c r="F94" s="381"/>
      <c r="G94" s="382"/>
      <c r="H94" s="381"/>
      <c r="I94" s="381"/>
      <c r="J94" s="381"/>
      <c r="K94" s="381"/>
      <c r="L94" s="381"/>
      <c r="M94" s="381"/>
      <c r="N94" s="381"/>
      <c r="O94" s="381"/>
      <c r="P94" s="381"/>
    </row>
    <row r="95" spans="6:16" x14ac:dyDescent="0.2">
      <c r="F95" s="381"/>
      <c r="G95" s="382"/>
      <c r="H95" s="381"/>
      <c r="I95" s="381"/>
      <c r="J95" s="381"/>
      <c r="K95" s="381"/>
      <c r="L95" s="381"/>
      <c r="M95" s="381"/>
      <c r="N95" s="381"/>
      <c r="O95" s="381"/>
      <c r="P95" s="381"/>
    </row>
    <row r="96" spans="6:16" x14ac:dyDescent="0.2">
      <c r="F96" s="381"/>
      <c r="G96" s="382"/>
      <c r="H96" s="381"/>
      <c r="I96" s="381"/>
      <c r="J96" s="381"/>
      <c r="K96" s="381"/>
      <c r="L96" s="381"/>
      <c r="M96" s="381"/>
      <c r="N96" s="381"/>
      <c r="O96" s="381"/>
      <c r="P96" s="381"/>
    </row>
    <row r="97" spans="6:16" x14ac:dyDescent="0.2">
      <c r="F97" s="381"/>
      <c r="G97" s="382"/>
      <c r="H97" s="381"/>
      <c r="I97" s="381"/>
      <c r="J97" s="381"/>
      <c r="K97" s="381"/>
      <c r="L97" s="381"/>
      <c r="M97" s="381"/>
      <c r="N97" s="381"/>
      <c r="O97" s="381"/>
      <c r="P97" s="381"/>
    </row>
    <row r="98" spans="6:16" x14ac:dyDescent="0.2">
      <c r="F98" s="381"/>
      <c r="G98" s="382"/>
      <c r="H98" s="381"/>
      <c r="I98" s="381"/>
      <c r="J98" s="381"/>
      <c r="K98" s="381"/>
      <c r="L98" s="381"/>
      <c r="M98" s="381"/>
      <c r="N98" s="381"/>
      <c r="O98" s="381"/>
      <c r="P98" s="381"/>
    </row>
    <row r="99" spans="6:16" x14ac:dyDescent="0.2">
      <c r="F99" s="381"/>
      <c r="G99" s="382"/>
      <c r="H99" s="381"/>
      <c r="I99" s="381"/>
      <c r="J99" s="381"/>
      <c r="K99" s="381"/>
      <c r="L99" s="381"/>
      <c r="M99" s="381"/>
      <c r="N99" s="381"/>
      <c r="O99" s="381"/>
      <c r="P99" s="381"/>
    </row>
    <row r="100" spans="6:16" x14ac:dyDescent="0.2">
      <c r="F100" s="381"/>
      <c r="G100" s="382"/>
      <c r="H100" s="381"/>
      <c r="I100" s="381"/>
      <c r="J100" s="381"/>
      <c r="K100" s="381"/>
      <c r="L100" s="381"/>
      <c r="M100" s="381"/>
      <c r="N100" s="381"/>
      <c r="O100" s="381"/>
      <c r="P100" s="381"/>
    </row>
    <row r="101" spans="6:16" x14ac:dyDescent="0.2">
      <c r="F101" s="381"/>
      <c r="G101" s="382"/>
      <c r="H101" s="381"/>
      <c r="I101" s="381"/>
      <c r="J101" s="381"/>
      <c r="K101" s="381"/>
      <c r="L101" s="381"/>
      <c r="M101" s="381"/>
      <c r="N101" s="381"/>
      <c r="O101" s="381"/>
      <c r="P101" s="381"/>
    </row>
    <row r="102" spans="6:16" x14ac:dyDescent="0.2">
      <c r="F102" s="381"/>
      <c r="G102" s="382"/>
      <c r="H102" s="381"/>
      <c r="I102" s="381"/>
      <c r="J102" s="381"/>
      <c r="K102" s="381"/>
      <c r="L102" s="381"/>
      <c r="M102" s="381"/>
      <c r="N102" s="381"/>
      <c r="O102" s="381"/>
      <c r="P102" s="381"/>
    </row>
    <row r="103" spans="6:16" x14ac:dyDescent="0.2">
      <c r="F103" s="381"/>
      <c r="G103" s="382"/>
      <c r="H103" s="381"/>
      <c r="I103" s="381"/>
      <c r="J103" s="381"/>
      <c r="K103" s="381"/>
      <c r="L103" s="381"/>
      <c r="M103" s="381"/>
      <c r="N103" s="381"/>
      <c r="O103" s="381"/>
      <c r="P103" s="381"/>
    </row>
    <row r="104" spans="6:16" x14ac:dyDescent="0.2">
      <c r="F104" s="381"/>
      <c r="G104" s="382"/>
      <c r="H104" s="381"/>
      <c r="I104" s="381"/>
      <c r="J104" s="381"/>
      <c r="K104" s="381"/>
      <c r="L104" s="381"/>
      <c r="M104" s="381"/>
      <c r="N104" s="381"/>
      <c r="O104" s="381"/>
      <c r="P104" s="381"/>
    </row>
    <row r="105" spans="6:16" x14ac:dyDescent="0.2">
      <c r="F105" s="381"/>
      <c r="G105" s="382"/>
      <c r="H105" s="381"/>
      <c r="I105" s="381"/>
      <c r="J105" s="381"/>
      <c r="K105" s="381"/>
      <c r="L105" s="381"/>
      <c r="M105" s="381"/>
      <c r="N105" s="381"/>
      <c r="O105" s="381"/>
      <c r="P105" s="381"/>
    </row>
    <row r="106" spans="6:16" x14ac:dyDescent="0.2">
      <c r="F106" s="381"/>
      <c r="G106" s="382"/>
      <c r="H106" s="381"/>
      <c r="I106" s="381"/>
      <c r="J106" s="381"/>
      <c r="K106" s="381"/>
      <c r="L106" s="381"/>
      <c r="M106" s="381"/>
      <c r="N106" s="381"/>
      <c r="O106" s="381"/>
      <c r="P106" s="381"/>
    </row>
    <row r="107" spans="6:16" x14ac:dyDescent="0.2">
      <c r="F107" s="381"/>
      <c r="G107" s="382"/>
      <c r="H107" s="381"/>
      <c r="I107" s="381"/>
      <c r="J107" s="381"/>
      <c r="K107" s="381"/>
      <c r="L107" s="381"/>
      <c r="M107" s="381"/>
      <c r="N107" s="381"/>
      <c r="O107" s="381"/>
      <c r="P107" s="381"/>
    </row>
    <row r="108" spans="6:16" x14ac:dyDescent="0.2">
      <c r="F108" s="381"/>
      <c r="G108" s="382"/>
      <c r="H108" s="381"/>
      <c r="I108" s="381"/>
      <c r="J108" s="381"/>
      <c r="K108" s="381"/>
      <c r="L108" s="381"/>
      <c r="M108" s="381"/>
      <c r="N108" s="381"/>
      <c r="O108" s="381"/>
      <c r="P108" s="381"/>
    </row>
    <row r="109" spans="6:16" x14ac:dyDescent="0.2">
      <c r="F109" s="381"/>
      <c r="G109" s="382"/>
      <c r="H109" s="381"/>
      <c r="I109" s="381"/>
      <c r="J109" s="381"/>
      <c r="K109" s="381"/>
      <c r="L109" s="381"/>
      <c r="M109" s="381"/>
      <c r="N109" s="381"/>
      <c r="O109" s="381"/>
      <c r="P109" s="381"/>
    </row>
    <row r="110" spans="6:16" x14ac:dyDescent="0.2">
      <c r="F110" s="381"/>
      <c r="G110" s="382"/>
      <c r="H110" s="381"/>
      <c r="I110" s="381"/>
      <c r="J110" s="381"/>
      <c r="K110" s="381"/>
      <c r="L110" s="381"/>
      <c r="M110" s="381"/>
      <c r="N110" s="381"/>
      <c r="O110" s="381"/>
      <c r="P110" s="381"/>
    </row>
    <row r="111" spans="6:16" x14ac:dyDescent="0.2">
      <c r="F111" s="381"/>
      <c r="G111" s="382"/>
      <c r="H111" s="381"/>
      <c r="I111" s="381"/>
      <c r="J111" s="381"/>
      <c r="K111" s="381"/>
      <c r="L111" s="381"/>
      <c r="M111" s="381"/>
      <c r="N111" s="381"/>
      <c r="O111" s="381"/>
      <c r="P111" s="381"/>
    </row>
    <row r="112" spans="6:16" x14ac:dyDescent="0.2">
      <c r="F112" s="381"/>
      <c r="G112" s="382"/>
      <c r="H112" s="381"/>
      <c r="I112" s="381"/>
      <c r="J112" s="381"/>
      <c r="K112" s="381"/>
      <c r="L112" s="381"/>
      <c r="M112" s="381"/>
      <c r="N112" s="381"/>
      <c r="O112" s="381"/>
      <c r="P112" s="381"/>
    </row>
    <row r="113" spans="6:16" x14ac:dyDescent="0.2">
      <c r="F113" s="381"/>
      <c r="G113" s="382"/>
      <c r="H113" s="381"/>
      <c r="I113" s="381"/>
      <c r="J113" s="381"/>
      <c r="K113" s="381"/>
      <c r="L113" s="381"/>
      <c r="M113" s="381"/>
      <c r="N113" s="381"/>
      <c r="O113" s="381"/>
      <c r="P113" s="381"/>
    </row>
    <row r="114" spans="6:16" x14ac:dyDescent="0.2">
      <c r="F114" s="381"/>
      <c r="G114" s="382"/>
      <c r="H114" s="381"/>
      <c r="I114" s="381"/>
      <c r="J114" s="381"/>
      <c r="K114" s="381"/>
      <c r="L114" s="381"/>
      <c r="M114" s="381"/>
      <c r="N114" s="381"/>
      <c r="O114" s="381"/>
      <c r="P114" s="381"/>
    </row>
    <row r="115" spans="6:16" x14ac:dyDescent="0.2">
      <c r="F115" s="381"/>
      <c r="G115" s="382"/>
      <c r="H115" s="381"/>
      <c r="I115" s="381"/>
      <c r="J115" s="381"/>
      <c r="K115" s="381"/>
      <c r="L115" s="381"/>
      <c r="M115" s="381"/>
      <c r="N115" s="381"/>
      <c r="O115" s="381"/>
      <c r="P115" s="381"/>
    </row>
    <row r="116" spans="6:16" x14ac:dyDescent="0.2">
      <c r="F116" s="381"/>
      <c r="G116" s="382"/>
      <c r="H116" s="381"/>
      <c r="I116" s="381"/>
      <c r="J116" s="381"/>
      <c r="K116" s="381"/>
      <c r="L116" s="381"/>
      <c r="M116" s="381"/>
      <c r="N116" s="381"/>
      <c r="O116" s="381"/>
      <c r="P116" s="381"/>
    </row>
    <row r="117" spans="6:16" x14ac:dyDescent="0.2">
      <c r="F117" s="381"/>
      <c r="G117" s="382"/>
      <c r="H117" s="381"/>
      <c r="I117" s="381"/>
      <c r="J117" s="381"/>
      <c r="K117" s="381"/>
      <c r="L117" s="381"/>
      <c r="M117" s="381"/>
      <c r="N117" s="381"/>
      <c r="O117" s="381"/>
      <c r="P117" s="381"/>
    </row>
    <row r="118" spans="6:16" x14ac:dyDescent="0.2">
      <c r="F118" s="381"/>
      <c r="G118" s="382"/>
      <c r="H118" s="381"/>
      <c r="I118" s="381"/>
      <c r="J118" s="381"/>
      <c r="K118" s="381"/>
      <c r="L118" s="381"/>
      <c r="M118" s="381"/>
      <c r="N118" s="381"/>
      <c r="O118" s="381"/>
      <c r="P118" s="381"/>
    </row>
    <row r="119" spans="6:16" x14ac:dyDescent="0.2">
      <c r="F119" s="381"/>
      <c r="G119" s="382"/>
      <c r="H119" s="381"/>
      <c r="I119" s="381"/>
      <c r="J119" s="381"/>
      <c r="K119" s="381"/>
      <c r="L119" s="381"/>
      <c r="M119" s="381"/>
      <c r="N119" s="381"/>
      <c r="O119" s="381"/>
      <c r="P119" s="381"/>
    </row>
    <row r="120" spans="6:16" x14ac:dyDescent="0.2">
      <c r="F120" s="381"/>
      <c r="G120" s="382"/>
      <c r="H120" s="381"/>
      <c r="I120" s="381"/>
      <c r="J120" s="381"/>
      <c r="K120" s="381"/>
      <c r="L120" s="381"/>
      <c r="M120" s="381"/>
      <c r="N120" s="381"/>
      <c r="O120" s="381"/>
      <c r="P120" s="381"/>
    </row>
    <row r="121" spans="6:16" x14ac:dyDescent="0.2">
      <c r="F121" s="381"/>
      <c r="G121" s="382"/>
      <c r="H121" s="381"/>
      <c r="I121" s="381"/>
      <c r="J121" s="381"/>
      <c r="K121" s="381"/>
      <c r="L121" s="381"/>
      <c r="M121" s="381"/>
      <c r="N121" s="381"/>
      <c r="O121" s="381"/>
      <c r="P121" s="381"/>
    </row>
    <row r="122" spans="6:16" x14ac:dyDescent="0.2">
      <c r="F122" s="381"/>
      <c r="G122" s="382"/>
      <c r="H122" s="381"/>
      <c r="I122" s="381"/>
      <c r="J122" s="381"/>
      <c r="K122" s="381"/>
      <c r="L122" s="381"/>
      <c r="M122" s="381"/>
      <c r="N122" s="381"/>
      <c r="O122" s="381"/>
      <c r="P122" s="381"/>
    </row>
    <row r="123" spans="6:16" x14ac:dyDescent="0.2">
      <c r="F123" s="381"/>
      <c r="G123" s="382"/>
      <c r="H123" s="381"/>
      <c r="I123" s="381"/>
      <c r="J123" s="381"/>
      <c r="K123" s="381"/>
      <c r="L123" s="381"/>
      <c r="M123" s="381"/>
      <c r="N123" s="381"/>
      <c r="O123" s="381"/>
      <c r="P123" s="381"/>
    </row>
    <row r="124" spans="6:16" x14ac:dyDescent="0.2">
      <c r="F124" s="381"/>
      <c r="G124" s="382"/>
      <c r="H124" s="381"/>
      <c r="I124" s="381"/>
      <c r="J124" s="381"/>
      <c r="K124" s="381"/>
      <c r="L124" s="381"/>
      <c r="M124" s="381"/>
      <c r="N124" s="381"/>
      <c r="O124" s="381"/>
      <c r="P124" s="381"/>
    </row>
    <row r="125" spans="6:16" x14ac:dyDescent="0.2">
      <c r="F125" s="381"/>
      <c r="G125" s="382"/>
      <c r="H125" s="381"/>
      <c r="I125" s="381"/>
      <c r="J125" s="381"/>
      <c r="K125" s="381"/>
      <c r="L125" s="381"/>
      <c r="M125" s="381"/>
      <c r="N125" s="381"/>
      <c r="O125" s="381"/>
      <c r="P125" s="381"/>
    </row>
    <row r="126" spans="6:16" x14ac:dyDescent="0.2">
      <c r="F126" s="381"/>
      <c r="G126" s="382"/>
      <c r="H126" s="381"/>
      <c r="I126" s="381"/>
      <c r="J126" s="381"/>
      <c r="K126" s="381"/>
      <c r="L126" s="381"/>
      <c r="M126" s="381"/>
      <c r="N126" s="381"/>
      <c r="O126" s="381"/>
      <c r="P126" s="381"/>
    </row>
    <row r="127" spans="6:16" x14ac:dyDescent="0.2">
      <c r="F127" s="381"/>
      <c r="G127" s="382"/>
      <c r="H127" s="381"/>
      <c r="I127" s="381"/>
      <c r="J127" s="381"/>
      <c r="K127" s="381"/>
      <c r="L127" s="381"/>
      <c r="M127" s="381"/>
      <c r="N127" s="381"/>
      <c r="O127" s="381"/>
      <c r="P127" s="381"/>
    </row>
    <row r="128" spans="6:16" x14ac:dyDescent="0.2">
      <c r="F128" s="381"/>
      <c r="G128" s="382"/>
      <c r="H128" s="381"/>
      <c r="I128" s="381"/>
      <c r="J128" s="381"/>
      <c r="K128" s="381"/>
      <c r="L128" s="381"/>
      <c r="M128" s="381"/>
      <c r="N128" s="381"/>
      <c r="O128" s="381"/>
      <c r="P128" s="381"/>
    </row>
    <row r="129" spans="6:16" x14ac:dyDescent="0.2">
      <c r="F129" s="381"/>
      <c r="G129" s="382"/>
      <c r="H129" s="381"/>
      <c r="I129" s="381"/>
      <c r="J129" s="381"/>
      <c r="K129" s="381"/>
      <c r="L129" s="381"/>
      <c r="M129" s="381"/>
      <c r="N129" s="381"/>
      <c r="O129" s="381"/>
      <c r="P129" s="381"/>
    </row>
    <row r="130" spans="6:16" x14ac:dyDescent="0.2">
      <c r="F130" s="381"/>
      <c r="G130" s="382"/>
      <c r="H130" s="381"/>
      <c r="I130" s="381"/>
      <c r="J130" s="381"/>
      <c r="K130" s="381"/>
      <c r="L130" s="381"/>
      <c r="M130" s="381"/>
      <c r="N130" s="381"/>
      <c r="O130" s="381"/>
      <c r="P130" s="381"/>
    </row>
    <row r="131" spans="6:16" x14ac:dyDescent="0.2">
      <c r="F131" s="381"/>
      <c r="G131" s="382"/>
      <c r="H131" s="381"/>
      <c r="I131" s="381"/>
      <c r="J131" s="381"/>
      <c r="K131" s="381"/>
      <c r="L131" s="381"/>
      <c r="M131" s="381"/>
      <c r="N131" s="381"/>
      <c r="O131" s="381"/>
      <c r="P131" s="381"/>
    </row>
    <row r="132" spans="6:16" x14ac:dyDescent="0.2">
      <c r="F132" s="381"/>
      <c r="G132" s="382"/>
      <c r="H132" s="381"/>
      <c r="I132" s="381"/>
      <c r="J132" s="381"/>
      <c r="K132" s="381"/>
      <c r="L132" s="381"/>
      <c r="M132" s="381"/>
      <c r="N132" s="381"/>
      <c r="O132" s="381"/>
      <c r="P132" s="381"/>
    </row>
    <row r="133" spans="6:16" x14ac:dyDescent="0.2">
      <c r="F133" s="381"/>
      <c r="G133" s="382"/>
      <c r="H133" s="381"/>
      <c r="I133" s="381"/>
      <c r="J133" s="381"/>
      <c r="K133" s="381"/>
      <c r="L133" s="381"/>
      <c r="M133" s="381"/>
      <c r="N133" s="381"/>
      <c r="O133" s="381"/>
      <c r="P133" s="381"/>
    </row>
    <row r="134" spans="6:16" x14ac:dyDescent="0.2">
      <c r="F134" s="381"/>
      <c r="G134" s="382"/>
      <c r="H134" s="381"/>
      <c r="I134" s="381"/>
      <c r="J134" s="381"/>
      <c r="K134" s="381"/>
      <c r="L134" s="381"/>
      <c r="M134" s="381"/>
      <c r="N134" s="381"/>
      <c r="O134" s="381"/>
      <c r="P134" s="381"/>
    </row>
    <row r="135" spans="6:16" x14ac:dyDescent="0.2">
      <c r="F135" s="381"/>
      <c r="G135" s="382"/>
      <c r="H135" s="381"/>
      <c r="I135" s="381"/>
      <c r="J135" s="381"/>
      <c r="K135" s="381"/>
      <c r="L135" s="381"/>
      <c r="M135" s="381"/>
      <c r="N135" s="381"/>
      <c r="O135" s="381"/>
      <c r="P135" s="381"/>
    </row>
    <row r="136" spans="6:16" x14ac:dyDescent="0.2">
      <c r="F136" s="381"/>
      <c r="G136" s="382"/>
      <c r="H136" s="381"/>
      <c r="I136" s="381"/>
      <c r="J136" s="381"/>
      <c r="K136" s="381"/>
      <c r="L136" s="381"/>
      <c r="M136" s="381"/>
      <c r="N136" s="381"/>
      <c r="O136" s="381"/>
      <c r="P136" s="381"/>
    </row>
    <row r="137" spans="6:16" x14ac:dyDescent="0.2">
      <c r="F137" s="381"/>
      <c r="G137" s="382"/>
      <c r="H137" s="381"/>
      <c r="I137" s="381"/>
      <c r="J137" s="381"/>
      <c r="K137" s="381"/>
      <c r="L137" s="381"/>
      <c r="M137" s="381"/>
      <c r="N137" s="381"/>
      <c r="O137" s="381"/>
      <c r="P137" s="381"/>
    </row>
    <row r="138" spans="6:16" x14ac:dyDescent="0.2">
      <c r="F138" s="381"/>
      <c r="G138" s="382"/>
      <c r="H138" s="381"/>
      <c r="I138" s="381"/>
      <c r="J138" s="381"/>
      <c r="K138" s="381"/>
      <c r="L138" s="381"/>
      <c r="M138" s="381"/>
      <c r="N138" s="381"/>
      <c r="O138" s="381"/>
      <c r="P138" s="381"/>
    </row>
    <row r="139" spans="6:16" x14ac:dyDescent="0.2">
      <c r="F139" s="381"/>
      <c r="G139" s="382"/>
      <c r="H139" s="381"/>
      <c r="I139" s="381"/>
      <c r="J139" s="381"/>
      <c r="K139" s="381"/>
      <c r="L139" s="381"/>
      <c r="M139" s="381"/>
      <c r="N139" s="381"/>
      <c r="O139" s="381"/>
      <c r="P139" s="381"/>
    </row>
    <row r="140" spans="6:16" x14ac:dyDescent="0.2">
      <c r="F140" s="381"/>
      <c r="G140" s="382"/>
      <c r="H140" s="381"/>
      <c r="I140" s="381"/>
      <c r="J140" s="381"/>
      <c r="K140" s="381"/>
      <c r="L140" s="381"/>
      <c r="M140" s="381"/>
      <c r="N140" s="381"/>
      <c r="O140" s="381"/>
      <c r="P140" s="381"/>
    </row>
    <row r="141" spans="6:16" x14ac:dyDescent="0.2">
      <c r="F141" s="381"/>
      <c r="G141" s="382"/>
      <c r="H141" s="381"/>
      <c r="I141" s="381"/>
      <c r="J141" s="381"/>
      <c r="K141" s="381"/>
      <c r="L141" s="381"/>
      <c r="M141" s="381"/>
      <c r="N141" s="381"/>
      <c r="O141" s="381"/>
      <c r="P141" s="381"/>
    </row>
    <row r="142" spans="6:16" x14ac:dyDescent="0.2">
      <c r="F142" s="381"/>
      <c r="G142" s="382"/>
      <c r="H142" s="381"/>
      <c r="I142" s="381"/>
      <c r="J142" s="381"/>
      <c r="K142" s="381"/>
      <c r="L142" s="381"/>
      <c r="M142" s="381"/>
      <c r="N142" s="381"/>
      <c r="O142" s="381"/>
      <c r="P142" s="381"/>
    </row>
    <row r="143" spans="6:16" x14ac:dyDescent="0.2">
      <c r="F143" s="381"/>
      <c r="G143" s="382"/>
      <c r="H143" s="381"/>
      <c r="I143" s="381"/>
      <c r="J143" s="381"/>
      <c r="K143" s="381"/>
      <c r="L143" s="381"/>
      <c r="M143" s="381"/>
      <c r="N143" s="381"/>
      <c r="O143" s="381"/>
      <c r="P143" s="381"/>
    </row>
    <row r="144" spans="6:16" x14ac:dyDescent="0.2">
      <c r="F144" s="381"/>
      <c r="G144" s="382"/>
      <c r="H144" s="381"/>
      <c r="I144" s="381"/>
      <c r="J144" s="381"/>
      <c r="K144" s="381"/>
      <c r="L144" s="381"/>
      <c r="M144" s="381"/>
      <c r="N144" s="381"/>
      <c r="O144" s="381"/>
      <c r="P144" s="381"/>
    </row>
    <row r="145" spans="6:16" x14ac:dyDescent="0.2">
      <c r="F145" s="381"/>
      <c r="G145" s="382"/>
      <c r="H145" s="381"/>
      <c r="I145" s="381"/>
      <c r="J145" s="381"/>
      <c r="K145" s="381"/>
      <c r="L145" s="381"/>
      <c r="M145" s="381"/>
      <c r="N145" s="381"/>
      <c r="O145" s="381"/>
      <c r="P145" s="381"/>
    </row>
    <row r="146" spans="6:16" x14ac:dyDescent="0.2">
      <c r="F146" s="381"/>
      <c r="G146" s="382"/>
      <c r="H146" s="381"/>
      <c r="I146" s="381"/>
      <c r="J146" s="381"/>
      <c r="K146" s="381"/>
      <c r="L146" s="381"/>
      <c r="M146" s="381"/>
      <c r="N146" s="381"/>
      <c r="O146" s="381"/>
      <c r="P146" s="381"/>
    </row>
    <row r="147" spans="6:16" x14ac:dyDescent="0.2">
      <c r="F147" s="381"/>
      <c r="G147" s="382"/>
      <c r="H147" s="381"/>
      <c r="I147" s="381"/>
      <c r="J147" s="381"/>
      <c r="K147" s="381"/>
      <c r="L147" s="381"/>
      <c r="M147" s="381"/>
      <c r="N147" s="381"/>
      <c r="O147" s="381"/>
      <c r="P147" s="381"/>
    </row>
    <row r="148" spans="6:16" x14ac:dyDescent="0.2">
      <c r="F148" s="381"/>
      <c r="G148" s="382"/>
      <c r="H148" s="381"/>
      <c r="I148" s="381"/>
      <c r="J148" s="381"/>
      <c r="K148" s="381"/>
      <c r="L148" s="381"/>
      <c r="M148" s="381"/>
      <c r="N148" s="381"/>
      <c r="O148" s="381"/>
      <c r="P148" s="381"/>
    </row>
    <row r="149" spans="6:16" x14ac:dyDescent="0.2">
      <c r="F149" s="381"/>
      <c r="G149" s="382"/>
      <c r="H149" s="381"/>
      <c r="I149" s="381"/>
      <c r="J149" s="381"/>
      <c r="K149" s="381"/>
      <c r="L149" s="381"/>
      <c r="M149" s="381"/>
      <c r="N149" s="381"/>
      <c r="O149" s="381"/>
      <c r="P149" s="381"/>
    </row>
    <row r="150" spans="6:16" x14ac:dyDescent="0.2">
      <c r="F150" s="381"/>
      <c r="G150" s="382"/>
      <c r="H150" s="381"/>
      <c r="I150" s="381"/>
      <c r="J150" s="381"/>
      <c r="K150" s="381"/>
      <c r="L150" s="381"/>
      <c r="M150" s="381"/>
      <c r="N150" s="381"/>
      <c r="O150" s="381"/>
      <c r="P150" s="381"/>
    </row>
    <row r="151" spans="6:16" x14ac:dyDescent="0.2">
      <c r="F151" s="381"/>
      <c r="G151" s="382"/>
      <c r="H151" s="381"/>
      <c r="I151" s="381"/>
      <c r="J151" s="381"/>
      <c r="K151" s="381"/>
      <c r="L151" s="381"/>
      <c r="M151" s="381"/>
      <c r="N151" s="381"/>
      <c r="O151" s="381"/>
      <c r="P151" s="381"/>
    </row>
    <row r="152" spans="6:16" x14ac:dyDescent="0.2">
      <c r="F152" s="381"/>
      <c r="G152" s="382"/>
      <c r="H152" s="381"/>
      <c r="I152" s="381"/>
      <c r="J152" s="381"/>
      <c r="K152" s="381"/>
      <c r="L152" s="381"/>
      <c r="M152" s="381"/>
      <c r="N152" s="381"/>
      <c r="O152" s="381"/>
      <c r="P152" s="381"/>
    </row>
    <row r="153" spans="6:16" x14ac:dyDescent="0.2">
      <c r="F153" s="381"/>
      <c r="G153" s="382"/>
      <c r="H153" s="381"/>
      <c r="I153" s="381"/>
      <c r="J153" s="381"/>
      <c r="K153" s="381"/>
      <c r="L153" s="381"/>
      <c r="M153" s="381"/>
      <c r="N153" s="381"/>
      <c r="O153" s="381"/>
      <c r="P153" s="381"/>
    </row>
    <row r="154" spans="6:16" x14ac:dyDescent="0.2">
      <c r="F154" s="381"/>
      <c r="G154" s="382"/>
      <c r="H154" s="381"/>
      <c r="I154" s="381"/>
      <c r="J154" s="381"/>
      <c r="K154" s="381"/>
      <c r="L154" s="381"/>
      <c r="M154" s="381"/>
      <c r="N154" s="381"/>
      <c r="O154" s="381"/>
      <c r="P154" s="381"/>
    </row>
    <row r="155" spans="6:16" x14ac:dyDescent="0.2">
      <c r="F155" s="381"/>
      <c r="G155" s="382"/>
      <c r="H155" s="381"/>
      <c r="I155" s="381"/>
      <c r="J155" s="381"/>
      <c r="K155" s="381"/>
      <c r="L155" s="381"/>
      <c r="M155" s="381"/>
      <c r="N155" s="381"/>
      <c r="O155" s="381"/>
      <c r="P155" s="381"/>
    </row>
    <row r="156" spans="6:16" x14ac:dyDescent="0.2">
      <c r="F156" s="381"/>
      <c r="G156" s="382"/>
      <c r="H156" s="381"/>
      <c r="I156" s="381"/>
      <c r="J156" s="381"/>
      <c r="K156" s="381"/>
      <c r="L156" s="381"/>
      <c r="M156" s="381"/>
      <c r="N156" s="381"/>
      <c r="O156" s="381"/>
      <c r="P156" s="381"/>
    </row>
    <row r="157" spans="6:16" x14ac:dyDescent="0.2">
      <c r="F157" s="381"/>
      <c r="G157" s="382"/>
      <c r="H157" s="381"/>
      <c r="I157" s="381"/>
      <c r="J157" s="381"/>
      <c r="K157" s="381"/>
      <c r="L157" s="381"/>
      <c r="M157" s="381"/>
      <c r="N157" s="381"/>
      <c r="O157" s="381"/>
      <c r="P157" s="381"/>
    </row>
    <row r="158" spans="6:16" x14ac:dyDescent="0.2">
      <c r="F158" s="381"/>
      <c r="G158" s="382"/>
      <c r="H158" s="381"/>
      <c r="I158" s="381"/>
      <c r="J158" s="381"/>
      <c r="K158" s="381"/>
      <c r="L158" s="381"/>
      <c r="M158" s="381"/>
      <c r="N158" s="381"/>
      <c r="O158" s="381"/>
      <c r="P158" s="381"/>
    </row>
    <row r="159" spans="6:16" x14ac:dyDescent="0.2">
      <c r="F159" s="381"/>
      <c r="G159" s="382"/>
      <c r="H159" s="381"/>
      <c r="I159" s="381"/>
      <c r="J159" s="381"/>
      <c r="K159" s="381"/>
      <c r="L159" s="381"/>
      <c r="M159" s="381"/>
      <c r="N159" s="381"/>
      <c r="O159" s="381"/>
      <c r="P159" s="381"/>
    </row>
    <row r="160" spans="6:16" x14ac:dyDescent="0.2">
      <c r="F160" s="381"/>
      <c r="G160" s="382"/>
      <c r="H160" s="381"/>
      <c r="I160" s="381"/>
      <c r="J160" s="381"/>
      <c r="K160" s="381"/>
      <c r="L160" s="381"/>
      <c r="M160" s="381"/>
      <c r="N160" s="381"/>
      <c r="O160" s="381"/>
      <c r="P160" s="381"/>
    </row>
    <row r="161" spans="6:16" x14ac:dyDescent="0.2">
      <c r="F161" s="381"/>
      <c r="G161" s="382"/>
      <c r="H161" s="381"/>
      <c r="I161" s="381"/>
      <c r="J161" s="381"/>
      <c r="K161" s="381"/>
      <c r="L161" s="381"/>
      <c r="M161" s="381"/>
      <c r="N161" s="381"/>
      <c r="O161" s="381"/>
      <c r="P161" s="381"/>
    </row>
    <row r="162" spans="6:16" x14ac:dyDescent="0.2">
      <c r="F162" s="381"/>
      <c r="G162" s="382"/>
      <c r="H162" s="381"/>
      <c r="I162" s="381"/>
      <c r="J162" s="381"/>
      <c r="K162" s="381"/>
      <c r="L162" s="381"/>
      <c r="M162" s="381"/>
      <c r="N162" s="381"/>
      <c r="O162" s="381"/>
      <c r="P162" s="381"/>
    </row>
    <row r="163" spans="6:16" x14ac:dyDescent="0.2">
      <c r="F163" s="381"/>
      <c r="G163" s="382"/>
      <c r="H163" s="381"/>
      <c r="I163" s="381"/>
      <c r="J163" s="381"/>
      <c r="K163" s="381"/>
      <c r="L163" s="381"/>
      <c r="M163" s="381"/>
      <c r="N163" s="381"/>
      <c r="O163" s="381"/>
      <c r="P163" s="381"/>
    </row>
    <row r="164" spans="6:16" x14ac:dyDescent="0.2">
      <c r="F164" s="381"/>
      <c r="G164" s="382"/>
      <c r="H164" s="381"/>
      <c r="I164" s="381"/>
      <c r="J164" s="381"/>
      <c r="K164" s="381"/>
      <c r="L164" s="381"/>
      <c r="M164" s="381"/>
      <c r="N164" s="381"/>
      <c r="O164" s="381"/>
      <c r="P164" s="381"/>
    </row>
    <row r="165" spans="6:16" x14ac:dyDescent="0.2">
      <c r="F165" s="381"/>
      <c r="G165" s="382"/>
      <c r="H165" s="381"/>
      <c r="I165" s="381"/>
      <c r="J165" s="381"/>
      <c r="K165" s="381"/>
      <c r="L165" s="381"/>
      <c r="M165" s="381"/>
      <c r="N165" s="381"/>
      <c r="O165" s="381"/>
      <c r="P165" s="381"/>
    </row>
    <row r="166" spans="6:16" x14ac:dyDescent="0.2">
      <c r="F166" s="381"/>
      <c r="G166" s="382"/>
      <c r="H166" s="381"/>
      <c r="I166" s="381"/>
      <c r="J166" s="381"/>
      <c r="K166" s="381"/>
      <c r="L166" s="381"/>
      <c r="M166" s="381"/>
      <c r="N166" s="381"/>
      <c r="O166" s="381"/>
      <c r="P166" s="381"/>
    </row>
    <row r="167" spans="6:16" x14ac:dyDescent="0.2">
      <c r="F167" s="381"/>
      <c r="G167" s="382"/>
      <c r="H167" s="381"/>
      <c r="I167" s="381"/>
      <c r="J167" s="381"/>
      <c r="K167" s="381"/>
      <c r="L167" s="381"/>
      <c r="M167" s="381"/>
      <c r="N167" s="381"/>
      <c r="O167" s="381"/>
      <c r="P167" s="381"/>
    </row>
    <row r="168" spans="6:16" x14ac:dyDescent="0.2">
      <c r="F168" s="381"/>
      <c r="G168" s="382"/>
      <c r="H168" s="381"/>
      <c r="I168" s="381"/>
      <c r="J168" s="381"/>
      <c r="K168" s="381"/>
      <c r="L168" s="381"/>
      <c r="M168" s="381"/>
      <c r="N168" s="381"/>
      <c r="O168" s="381"/>
      <c r="P168" s="381"/>
    </row>
    <row r="169" spans="6:16" x14ac:dyDescent="0.2">
      <c r="F169" s="381"/>
      <c r="G169" s="382"/>
      <c r="H169" s="381"/>
      <c r="I169" s="381"/>
      <c r="J169" s="381"/>
      <c r="K169" s="381"/>
      <c r="L169" s="381"/>
      <c r="M169" s="381"/>
      <c r="N169" s="381"/>
      <c r="O169" s="381"/>
      <c r="P169" s="381"/>
    </row>
    <row r="170" spans="6:16" x14ac:dyDescent="0.2">
      <c r="F170" s="381"/>
      <c r="G170" s="382"/>
      <c r="H170" s="381"/>
      <c r="I170" s="381"/>
      <c r="J170" s="381"/>
      <c r="K170" s="381"/>
      <c r="L170" s="381"/>
      <c r="M170" s="381"/>
      <c r="N170" s="381"/>
      <c r="O170" s="381"/>
      <c r="P170" s="381"/>
    </row>
    <row r="171" spans="6:16" x14ac:dyDescent="0.2">
      <c r="F171" s="381"/>
      <c r="G171" s="382"/>
      <c r="H171" s="381"/>
      <c r="I171" s="381"/>
      <c r="J171" s="381"/>
      <c r="K171" s="381"/>
      <c r="L171" s="381"/>
      <c r="M171" s="381"/>
      <c r="N171" s="381"/>
      <c r="O171" s="381"/>
      <c r="P171" s="381"/>
    </row>
    <row r="172" spans="6:16" x14ac:dyDescent="0.2">
      <c r="F172" s="381"/>
      <c r="G172" s="382"/>
      <c r="H172" s="381"/>
      <c r="I172" s="381"/>
      <c r="J172" s="381"/>
      <c r="K172" s="381"/>
      <c r="L172" s="381"/>
      <c r="M172" s="381"/>
      <c r="N172" s="381"/>
      <c r="O172" s="381"/>
      <c r="P172" s="381"/>
    </row>
    <row r="173" spans="6:16" x14ac:dyDescent="0.2">
      <c r="F173" s="381"/>
      <c r="G173" s="382"/>
      <c r="H173" s="381"/>
      <c r="I173" s="381"/>
      <c r="J173" s="381"/>
      <c r="K173" s="381"/>
      <c r="L173" s="381"/>
      <c r="M173" s="381"/>
      <c r="N173" s="381"/>
      <c r="O173" s="381"/>
      <c r="P173" s="381"/>
    </row>
    <row r="174" spans="6:16" x14ac:dyDescent="0.2">
      <c r="F174" s="381"/>
      <c r="G174" s="382"/>
      <c r="H174" s="381"/>
      <c r="I174" s="381"/>
      <c r="J174" s="381"/>
      <c r="K174" s="381"/>
      <c r="L174" s="381"/>
      <c r="M174" s="381"/>
      <c r="N174" s="381"/>
      <c r="O174" s="381"/>
      <c r="P174" s="381"/>
    </row>
    <row r="175" spans="6:16" x14ac:dyDescent="0.2">
      <c r="F175" s="381"/>
      <c r="G175" s="382"/>
      <c r="H175" s="381"/>
      <c r="I175" s="381"/>
      <c r="J175" s="381"/>
      <c r="K175" s="381"/>
      <c r="L175" s="381"/>
      <c r="M175" s="381"/>
      <c r="N175" s="381"/>
      <c r="O175" s="381"/>
      <c r="P175" s="381"/>
    </row>
    <row r="176" spans="6:16" x14ac:dyDescent="0.2">
      <c r="F176" s="381"/>
      <c r="G176" s="382"/>
      <c r="H176" s="381"/>
      <c r="I176" s="381"/>
      <c r="J176" s="381"/>
      <c r="K176" s="381"/>
      <c r="L176" s="381"/>
      <c r="M176" s="381"/>
      <c r="N176" s="381"/>
      <c r="O176" s="381"/>
      <c r="P176" s="381"/>
    </row>
    <row r="177" spans="6:16" x14ac:dyDescent="0.2">
      <c r="F177" s="381"/>
      <c r="G177" s="382"/>
      <c r="H177" s="381"/>
      <c r="I177" s="381"/>
      <c r="J177" s="381"/>
      <c r="K177" s="381"/>
      <c r="L177" s="381"/>
      <c r="M177" s="381"/>
      <c r="N177" s="381"/>
      <c r="O177" s="381"/>
      <c r="P177" s="381"/>
    </row>
    <row r="178" spans="6:16" x14ac:dyDescent="0.2">
      <c r="F178" s="381"/>
      <c r="G178" s="382"/>
      <c r="H178" s="381"/>
      <c r="I178" s="381"/>
      <c r="J178" s="381"/>
      <c r="K178" s="381"/>
      <c r="L178" s="381"/>
      <c r="M178" s="381"/>
      <c r="N178" s="381"/>
      <c r="O178" s="381"/>
      <c r="P178" s="381"/>
    </row>
    <row r="179" spans="6:16" x14ac:dyDescent="0.2">
      <c r="F179" s="381"/>
      <c r="G179" s="382"/>
      <c r="H179" s="381"/>
      <c r="I179" s="381"/>
      <c r="J179" s="381"/>
      <c r="K179" s="381"/>
      <c r="L179" s="381"/>
      <c r="M179" s="381"/>
      <c r="N179" s="381"/>
      <c r="O179" s="381"/>
      <c r="P179" s="381"/>
    </row>
    <row r="180" spans="6:16" x14ac:dyDescent="0.2">
      <c r="F180" s="381"/>
      <c r="G180" s="382"/>
      <c r="H180" s="381"/>
      <c r="I180" s="381"/>
      <c r="J180" s="381"/>
      <c r="K180" s="381"/>
      <c r="L180" s="381"/>
      <c r="M180" s="381"/>
      <c r="N180" s="381"/>
      <c r="O180" s="381"/>
      <c r="P180" s="381"/>
    </row>
    <row r="181" spans="6:16" x14ac:dyDescent="0.2">
      <c r="F181" s="381"/>
      <c r="G181" s="382"/>
      <c r="H181" s="381"/>
      <c r="I181" s="381"/>
      <c r="J181" s="381"/>
      <c r="K181" s="381"/>
      <c r="L181" s="381"/>
      <c r="M181" s="381"/>
      <c r="N181" s="381"/>
      <c r="O181" s="381"/>
      <c r="P181" s="381"/>
    </row>
    <row r="182" spans="6:16" x14ac:dyDescent="0.2">
      <c r="F182" s="381"/>
      <c r="G182" s="382"/>
      <c r="H182" s="381"/>
      <c r="I182" s="381"/>
      <c r="J182" s="381"/>
      <c r="K182" s="381"/>
      <c r="L182" s="381"/>
      <c r="M182" s="381"/>
      <c r="N182" s="381"/>
      <c r="O182" s="381"/>
      <c r="P182" s="381"/>
    </row>
    <row r="183" spans="6:16" x14ac:dyDescent="0.2">
      <c r="F183" s="381"/>
      <c r="G183" s="382"/>
      <c r="H183" s="381"/>
      <c r="I183" s="381"/>
      <c r="J183" s="381"/>
      <c r="K183" s="381"/>
      <c r="L183" s="381"/>
      <c r="M183" s="381"/>
      <c r="N183" s="381"/>
      <c r="O183" s="381"/>
      <c r="P183" s="381"/>
    </row>
    <row r="184" spans="6:16" x14ac:dyDescent="0.2">
      <c r="F184" s="381"/>
      <c r="G184" s="382"/>
      <c r="H184" s="381"/>
      <c r="I184" s="381"/>
      <c r="J184" s="381"/>
      <c r="K184" s="381"/>
      <c r="L184" s="381"/>
      <c r="M184" s="381"/>
      <c r="N184" s="381"/>
      <c r="O184" s="381"/>
      <c r="P184" s="381"/>
    </row>
    <row r="185" spans="6:16" x14ac:dyDescent="0.2">
      <c r="F185" s="381"/>
      <c r="G185" s="382"/>
      <c r="H185" s="381"/>
      <c r="I185" s="381"/>
      <c r="J185" s="381"/>
      <c r="K185" s="381"/>
      <c r="L185" s="381"/>
      <c r="M185" s="381"/>
      <c r="N185" s="381"/>
      <c r="O185" s="381"/>
      <c r="P185" s="381"/>
    </row>
    <row r="186" spans="6:16" x14ac:dyDescent="0.2">
      <c r="F186" s="381"/>
      <c r="G186" s="382"/>
      <c r="H186" s="381"/>
      <c r="I186" s="381"/>
      <c r="J186" s="381"/>
      <c r="K186" s="381"/>
      <c r="L186" s="381"/>
      <c r="M186" s="381"/>
      <c r="N186" s="381"/>
      <c r="O186" s="381"/>
      <c r="P186" s="381"/>
    </row>
    <row r="187" spans="6:16" x14ac:dyDescent="0.2">
      <c r="F187" s="381"/>
      <c r="G187" s="382"/>
      <c r="H187" s="381"/>
      <c r="I187" s="381"/>
      <c r="J187" s="381"/>
      <c r="K187" s="381"/>
      <c r="L187" s="381"/>
      <c r="M187" s="381"/>
      <c r="N187" s="381"/>
      <c r="O187" s="381"/>
      <c r="P187" s="381"/>
    </row>
    <row r="188" spans="6:16" x14ac:dyDescent="0.2">
      <c r="F188" s="381"/>
      <c r="G188" s="382"/>
      <c r="H188" s="381"/>
      <c r="I188" s="381"/>
      <c r="J188" s="381"/>
      <c r="K188" s="381"/>
      <c r="L188" s="381"/>
      <c r="M188" s="381"/>
      <c r="N188" s="381"/>
      <c r="O188" s="381"/>
      <c r="P188" s="381"/>
    </row>
    <row r="189" spans="6:16" x14ac:dyDescent="0.2">
      <c r="F189" s="381"/>
      <c r="G189" s="382"/>
      <c r="H189" s="381"/>
      <c r="I189" s="381"/>
      <c r="J189" s="381"/>
      <c r="K189" s="381"/>
      <c r="L189" s="381"/>
      <c r="M189" s="381"/>
      <c r="N189" s="381"/>
      <c r="O189" s="381"/>
      <c r="P189" s="381"/>
    </row>
    <row r="190" spans="6:16" x14ac:dyDescent="0.2">
      <c r="F190" s="381"/>
      <c r="G190" s="382"/>
      <c r="H190" s="381"/>
      <c r="I190" s="381"/>
      <c r="J190" s="381"/>
      <c r="K190" s="381"/>
      <c r="L190" s="381"/>
      <c r="M190" s="381"/>
      <c r="N190" s="381"/>
      <c r="O190" s="381"/>
      <c r="P190" s="381"/>
    </row>
    <row r="191" spans="6:16" x14ac:dyDescent="0.2">
      <c r="F191" s="381"/>
      <c r="G191" s="382"/>
      <c r="H191" s="381"/>
      <c r="I191" s="381"/>
      <c r="J191" s="381"/>
      <c r="K191" s="381"/>
      <c r="L191" s="381"/>
      <c r="M191" s="381"/>
      <c r="N191" s="381"/>
      <c r="O191" s="381"/>
      <c r="P191" s="381"/>
    </row>
    <row r="192" spans="6:16" x14ac:dyDescent="0.2">
      <c r="F192" s="381"/>
      <c r="G192" s="382"/>
      <c r="H192" s="381"/>
      <c r="I192" s="381"/>
      <c r="J192" s="381"/>
      <c r="K192" s="381"/>
      <c r="L192" s="381"/>
      <c r="M192" s="381"/>
      <c r="N192" s="381"/>
      <c r="O192" s="381"/>
      <c r="P192" s="381"/>
    </row>
    <row r="193" spans="6:16" x14ac:dyDescent="0.2">
      <c r="F193" s="381"/>
      <c r="G193" s="382"/>
      <c r="H193" s="381"/>
      <c r="I193" s="381"/>
      <c r="J193" s="381"/>
      <c r="K193" s="381"/>
      <c r="L193" s="381"/>
      <c r="M193" s="381"/>
      <c r="N193" s="381"/>
      <c r="O193" s="381"/>
      <c r="P193" s="381"/>
    </row>
    <row r="194" spans="6:16" x14ac:dyDescent="0.2">
      <c r="F194" s="381"/>
      <c r="G194" s="382"/>
      <c r="H194" s="381"/>
      <c r="I194" s="381"/>
      <c r="J194" s="381"/>
      <c r="K194" s="381"/>
      <c r="L194" s="381"/>
      <c r="M194" s="381"/>
      <c r="N194" s="381"/>
      <c r="O194" s="381"/>
      <c r="P194" s="381"/>
    </row>
    <row r="195" spans="6:16" x14ac:dyDescent="0.2">
      <c r="F195" s="381"/>
      <c r="G195" s="382"/>
      <c r="H195" s="381"/>
      <c r="I195" s="381"/>
      <c r="J195" s="381"/>
      <c r="K195" s="381"/>
      <c r="L195" s="381"/>
      <c r="M195" s="381"/>
      <c r="N195" s="381"/>
      <c r="O195" s="381"/>
      <c r="P195" s="381"/>
    </row>
    <row r="196" spans="6:16" x14ac:dyDescent="0.2">
      <c r="F196" s="381"/>
      <c r="G196" s="382"/>
      <c r="H196" s="381"/>
      <c r="I196" s="381"/>
      <c r="J196" s="381"/>
      <c r="K196" s="381"/>
      <c r="L196" s="381"/>
      <c r="M196" s="381"/>
      <c r="N196" s="381"/>
      <c r="O196" s="381"/>
      <c r="P196" s="381"/>
    </row>
    <row r="197" spans="6:16" x14ac:dyDescent="0.2">
      <c r="F197" s="381"/>
      <c r="G197" s="382"/>
      <c r="H197" s="381"/>
      <c r="I197" s="381"/>
      <c r="J197" s="381"/>
      <c r="K197" s="381"/>
      <c r="L197" s="381"/>
      <c r="M197" s="381"/>
      <c r="N197" s="381"/>
      <c r="O197" s="381"/>
      <c r="P197" s="381"/>
    </row>
    <row r="198" spans="6:16" x14ac:dyDescent="0.2">
      <c r="F198" s="381"/>
      <c r="G198" s="382"/>
      <c r="H198" s="381"/>
      <c r="I198" s="381"/>
      <c r="J198" s="381"/>
      <c r="K198" s="381"/>
      <c r="L198" s="381"/>
      <c r="M198" s="381"/>
      <c r="N198" s="381"/>
      <c r="O198" s="381"/>
      <c r="P198" s="381"/>
    </row>
    <row r="199" spans="6:16" x14ac:dyDescent="0.2">
      <c r="F199" s="381"/>
      <c r="G199" s="382"/>
      <c r="H199" s="381"/>
      <c r="I199" s="381"/>
      <c r="J199" s="381"/>
      <c r="K199" s="381"/>
      <c r="L199" s="381"/>
      <c r="M199" s="381"/>
      <c r="N199" s="381"/>
      <c r="O199" s="381"/>
      <c r="P199" s="381"/>
    </row>
    <row r="200" spans="6:16" x14ac:dyDescent="0.2">
      <c r="F200" s="381"/>
      <c r="G200" s="382"/>
      <c r="H200" s="381"/>
      <c r="I200" s="381"/>
      <c r="J200" s="381"/>
      <c r="K200" s="381"/>
      <c r="L200" s="381"/>
      <c r="M200" s="381"/>
      <c r="N200" s="381"/>
      <c r="O200" s="381"/>
      <c r="P200" s="381"/>
    </row>
    <row r="201" spans="6:16" x14ac:dyDescent="0.2">
      <c r="F201" s="381"/>
      <c r="G201" s="382"/>
      <c r="H201" s="381"/>
      <c r="I201" s="381"/>
      <c r="J201" s="381"/>
      <c r="K201" s="381"/>
      <c r="L201" s="381"/>
      <c r="M201" s="381"/>
      <c r="N201" s="381"/>
      <c r="O201" s="381"/>
      <c r="P201" s="381"/>
    </row>
    <row r="202" spans="6:16" x14ac:dyDescent="0.2">
      <c r="F202" s="381"/>
      <c r="G202" s="382"/>
      <c r="H202" s="381"/>
      <c r="I202" s="381"/>
      <c r="J202" s="381"/>
      <c r="K202" s="381"/>
      <c r="L202" s="381"/>
      <c r="M202" s="381"/>
      <c r="N202" s="381"/>
      <c r="O202" s="381"/>
      <c r="P202" s="381"/>
    </row>
    <row r="203" spans="6:16" x14ac:dyDescent="0.2">
      <c r="F203" s="381"/>
      <c r="G203" s="382"/>
      <c r="H203" s="381"/>
      <c r="I203" s="381"/>
      <c r="J203" s="381"/>
      <c r="K203" s="381"/>
      <c r="L203" s="381"/>
      <c r="M203" s="381"/>
      <c r="N203" s="381"/>
      <c r="O203" s="381"/>
      <c r="P203" s="381"/>
    </row>
    <row r="204" spans="6:16" x14ac:dyDescent="0.2">
      <c r="F204" s="381"/>
      <c r="G204" s="382"/>
      <c r="H204" s="381"/>
      <c r="I204" s="381"/>
      <c r="J204" s="381"/>
      <c r="K204" s="381"/>
      <c r="L204" s="381"/>
      <c r="M204" s="381"/>
      <c r="N204" s="381"/>
      <c r="O204" s="381"/>
      <c r="P204" s="381"/>
    </row>
    <row r="205" spans="6:16" x14ac:dyDescent="0.2">
      <c r="F205" s="381"/>
      <c r="G205" s="382"/>
      <c r="H205" s="381"/>
      <c r="I205" s="381"/>
      <c r="J205" s="381"/>
      <c r="K205" s="381"/>
      <c r="L205" s="381"/>
      <c r="M205" s="381"/>
      <c r="N205" s="381"/>
      <c r="O205" s="381"/>
      <c r="P205" s="381"/>
    </row>
    <row r="206" spans="6:16" x14ac:dyDescent="0.2">
      <c r="F206" s="381"/>
      <c r="G206" s="382"/>
      <c r="H206" s="381"/>
      <c r="I206" s="381"/>
      <c r="J206" s="381"/>
      <c r="K206" s="381"/>
      <c r="L206" s="381"/>
      <c r="M206" s="381"/>
      <c r="N206" s="381"/>
      <c r="O206" s="381"/>
      <c r="P206" s="381"/>
    </row>
    <row r="207" spans="6:16" x14ac:dyDescent="0.2">
      <c r="F207" s="381"/>
      <c r="G207" s="382"/>
      <c r="H207" s="381"/>
      <c r="I207" s="381"/>
      <c r="J207" s="381"/>
      <c r="K207" s="381"/>
      <c r="L207" s="381"/>
      <c r="M207" s="381"/>
      <c r="N207" s="381"/>
      <c r="O207" s="381"/>
      <c r="P207" s="381"/>
    </row>
    <row r="208" spans="6:16" x14ac:dyDescent="0.2">
      <c r="F208" s="381"/>
      <c r="G208" s="382"/>
      <c r="H208" s="381"/>
      <c r="I208" s="381"/>
      <c r="J208" s="381"/>
      <c r="K208" s="381"/>
      <c r="L208" s="381"/>
      <c r="M208" s="381"/>
      <c r="N208" s="381"/>
      <c r="O208" s="381"/>
      <c r="P208" s="381"/>
    </row>
    <row r="209" spans="6:16" x14ac:dyDescent="0.2">
      <c r="F209" s="381"/>
      <c r="G209" s="382"/>
      <c r="H209" s="381"/>
      <c r="I209" s="381"/>
      <c r="J209" s="381"/>
      <c r="K209" s="381"/>
      <c r="L209" s="381"/>
      <c r="M209" s="381"/>
      <c r="N209" s="381"/>
      <c r="O209" s="381"/>
      <c r="P209" s="381"/>
    </row>
    <row r="210" spans="6:16" x14ac:dyDescent="0.2">
      <c r="F210" s="381"/>
      <c r="G210" s="382"/>
      <c r="H210" s="381"/>
      <c r="I210" s="381"/>
      <c r="J210" s="381"/>
      <c r="K210" s="381"/>
      <c r="L210" s="381"/>
      <c r="M210" s="381"/>
      <c r="N210" s="381"/>
      <c r="O210" s="381"/>
      <c r="P210" s="381"/>
    </row>
    <row r="211" spans="6:16" x14ac:dyDescent="0.2">
      <c r="F211" s="381"/>
      <c r="G211" s="382"/>
      <c r="H211" s="381"/>
      <c r="I211" s="381"/>
      <c r="J211" s="381"/>
      <c r="K211" s="381"/>
      <c r="L211" s="381"/>
      <c r="M211" s="381"/>
      <c r="N211" s="381"/>
      <c r="O211" s="381"/>
      <c r="P211" s="381"/>
    </row>
    <row r="212" spans="6:16" x14ac:dyDescent="0.2">
      <c r="F212" s="381"/>
      <c r="G212" s="382"/>
      <c r="H212" s="381"/>
      <c r="I212" s="381"/>
      <c r="J212" s="381"/>
      <c r="K212" s="381"/>
      <c r="L212" s="381"/>
      <c r="M212" s="381"/>
      <c r="N212" s="381"/>
      <c r="O212" s="381"/>
      <c r="P212" s="381"/>
    </row>
    <row r="213" spans="6:16" x14ac:dyDescent="0.2">
      <c r="F213" s="381"/>
      <c r="G213" s="382"/>
      <c r="H213" s="381"/>
      <c r="I213" s="381"/>
      <c r="J213" s="381"/>
      <c r="K213" s="381"/>
      <c r="L213" s="381"/>
      <c r="M213" s="381"/>
      <c r="N213" s="381"/>
      <c r="O213" s="381"/>
      <c r="P213" s="381"/>
    </row>
    <row r="214" spans="6:16" x14ac:dyDescent="0.2">
      <c r="F214" s="381"/>
      <c r="G214" s="382"/>
      <c r="H214" s="381"/>
      <c r="I214" s="381"/>
      <c r="J214" s="381"/>
      <c r="K214" s="381"/>
      <c r="L214" s="381"/>
      <c r="M214" s="381"/>
      <c r="N214" s="381"/>
      <c r="O214" s="381"/>
      <c r="P214" s="381"/>
    </row>
    <row r="215" spans="6:16" x14ac:dyDescent="0.2">
      <c r="F215" s="381"/>
      <c r="G215" s="382"/>
      <c r="H215" s="381"/>
      <c r="I215" s="381"/>
      <c r="J215" s="381"/>
      <c r="K215" s="381"/>
      <c r="L215" s="381"/>
      <c r="M215" s="381"/>
      <c r="N215" s="381"/>
      <c r="O215" s="381"/>
      <c r="P215" s="381"/>
    </row>
    <row r="216" spans="6:16" x14ac:dyDescent="0.2">
      <c r="F216" s="381"/>
      <c r="G216" s="382"/>
      <c r="H216" s="381"/>
      <c r="I216" s="381"/>
      <c r="J216" s="381"/>
      <c r="K216" s="381"/>
      <c r="L216" s="381"/>
      <c r="M216" s="381"/>
      <c r="N216" s="381"/>
      <c r="O216" s="381"/>
      <c r="P216" s="381"/>
    </row>
    <row r="217" spans="6:16" x14ac:dyDescent="0.2">
      <c r="F217" s="381"/>
      <c r="G217" s="382"/>
      <c r="H217" s="381"/>
      <c r="I217" s="381"/>
      <c r="J217" s="381"/>
      <c r="K217" s="381"/>
      <c r="L217" s="381"/>
      <c r="M217" s="381"/>
      <c r="N217" s="381"/>
      <c r="O217" s="381"/>
      <c r="P217" s="381"/>
    </row>
    <row r="218" spans="6:16" x14ac:dyDescent="0.2">
      <c r="F218" s="381"/>
      <c r="G218" s="382"/>
      <c r="H218" s="381"/>
      <c r="I218" s="381"/>
      <c r="J218" s="381"/>
      <c r="K218" s="381"/>
      <c r="L218" s="381"/>
      <c r="M218" s="381"/>
      <c r="N218" s="381"/>
      <c r="O218" s="381"/>
      <c r="P218" s="381"/>
    </row>
    <row r="219" spans="6:16" x14ac:dyDescent="0.2">
      <c r="F219" s="381"/>
      <c r="G219" s="382"/>
      <c r="H219" s="381"/>
      <c r="I219" s="381"/>
      <c r="J219" s="381"/>
      <c r="K219" s="381"/>
      <c r="L219" s="381"/>
      <c r="M219" s="381"/>
      <c r="N219" s="381"/>
      <c r="O219" s="381"/>
      <c r="P219" s="381"/>
    </row>
    <row r="220" spans="6:16" x14ac:dyDescent="0.2">
      <c r="F220" s="381"/>
      <c r="G220" s="382"/>
      <c r="H220" s="381"/>
      <c r="I220" s="381"/>
      <c r="J220" s="381"/>
      <c r="K220" s="381"/>
      <c r="L220" s="381"/>
      <c r="M220" s="381"/>
      <c r="N220" s="381"/>
      <c r="O220" s="381"/>
      <c r="P220" s="381"/>
    </row>
    <row r="221" spans="6:16" x14ac:dyDescent="0.2">
      <c r="F221" s="381"/>
      <c r="G221" s="382"/>
      <c r="H221" s="381"/>
      <c r="I221" s="381"/>
      <c r="J221" s="381"/>
      <c r="K221" s="381"/>
      <c r="L221" s="381"/>
      <c r="M221" s="381"/>
      <c r="N221" s="381"/>
      <c r="O221" s="381"/>
      <c r="P221" s="381"/>
    </row>
    <row r="222" spans="6:16" x14ac:dyDescent="0.2">
      <c r="F222" s="381"/>
      <c r="G222" s="382"/>
      <c r="H222" s="381"/>
      <c r="I222" s="381"/>
      <c r="J222" s="381"/>
      <c r="K222" s="381"/>
      <c r="L222" s="381"/>
      <c r="M222" s="381"/>
      <c r="N222" s="381"/>
      <c r="O222" s="381"/>
      <c r="P222" s="381"/>
    </row>
    <row r="223" spans="6:16" x14ac:dyDescent="0.2">
      <c r="F223" s="381"/>
      <c r="G223" s="382"/>
      <c r="H223" s="381"/>
      <c r="I223" s="381"/>
      <c r="J223" s="381"/>
      <c r="K223" s="381"/>
      <c r="L223" s="381"/>
      <c r="M223" s="381"/>
      <c r="N223" s="381"/>
      <c r="O223" s="381"/>
      <c r="P223" s="381"/>
    </row>
    <row r="224" spans="6:16" x14ac:dyDescent="0.2">
      <c r="F224" s="381"/>
      <c r="G224" s="382"/>
      <c r="H224" s="381"/>
      <c r="I224" s="381"/>
      <c r="J224" s="381"/>
      <c r="K224" s="381"/>
      <c r="L224" s="381"/>
      <c r="M224" s="381"/>
      <c r="N224" s="381"/>
      <c r="O224" s="381"/>
      <c r="P224" s="381"/>
    </row>
    <row r="225" spans="6:16" x14ac:dyDescent="0.2">
      <c r="F225" s="381"/>
      <c r="G225" s="382"/>
      <c r="H225" s="381"/>
      <c r="I225" s="381"/>
      <c r="J225" s="381"/>
      <c r="K225" s="381"/>
      <c r="L225" s="381"/>
      <c r="M225" s="381"/>
      <c r="N225" s="381"/>
      <c r="O225" s="381"/>
      <c r="P225" s="381"/>
    </row>
    <row r="226" spans="6:16" x14ac:dyDescent="0.2">
      <c r="F226" s="381"/>
      <c r="G226" s="382"/>
      <c r="H226" s="381"/>
      <c r="I226" s="381"/>
      <c r="J226" s="381"/>
      <c r="K226" s="381"/>
      <c r="L226" s="381"/>
      <c r="M226" s="381"/>
      <c r="N226" s="381"/>
      <c r="O226" s="381"/>
      <c r="P226" s="381"/>
    </row>
    <row r="227" spans="6:16" x14ac:dyDescent="0.2">
      <c r="F227" s="381"/>
      <c r="G227" s="382"/>
      <c r="H227" s="381"/>
      <c r="I227" s="381"/>
      <c r="J227" s="381"/>
      <c r="K227" s="381"/>
      <c r="L227" s="381"/>
      <c r="M227" s="381"/>
      <c r="N227" s="381"/>
      <c r="O227" s="381"/>
      <c r="P227" s="381"/>
    </row>
    <row r="228" spans="6:16" x14ac:dyDescent="0.2">
      <c r="F228" s="381"/>
      <c r="G228" s="382"/>
      <c r="H228" s="381"/>
      <c r="I228" s="381"/>
      <c r="J228" s="381"/>
      <c r="K228" s="381"/>
      <c r="L228" s="381"/>
      <c r="M228" s="381"/>
      <c r="N228" s="381"/>
      <c r="O228" s="381"/>
      <c r="P228" s="381"/>
    </row>
    <row r="229" spans="6:16" x14ac:dyDescent="0.2">
      <c r="F229" s="381"/>
      <c r="G229" s="382"/>
      <c r="H229" s="381"/>
      <c r="I229" s="381"/>
      <c r="J229" s="381"/>
      <c r="K229" s="381"/>
      <c r="L229" s="381"/>
      <c r="M229" s="381"/>
      <c r="N229" s="381"/>
      <c r="O229" s="381"/>
      <c r="P229" s="381"/>
    </row>
    <row r="230" spans="6:16" x14ac:dyDescent="0.2">
      <c r="F230" s="381"/>
      <c r="G230" s="382"/>
      <c r="H230" s="381"/>
      <c r="I230" s="381"/>
      <c r="J230" s="381"/>
      <c r="K230" s="381"/>
      <c r="L230" s="381"/>
      <c r="M230" s="381"/>
      <c r="N230" s="381"/>
      <c r="O230" s="381"/>
      <c r="P230" s="381"/>
    </row>
    <row r="231" spans="6:16" x14ac:dyDescent="0.2">
      <c r="F231" s="381"/>
      <c r="G231" s="382"/>
      <c r="H231" s="381"/>
      <c r="I231" s="381"/>
      <c r="J231" s="381"/>
      <c r="K231" s="381"/>
      <c r="L231" s="381"/>
      <c r="M231" s="381"/>
      <c r="N231" s="381"/>
      <c r="O231" s="381"/>
      <c r="P231" s="381"/>
    </row>
    <row r="232" spans="6:16" x14ac:dyDescent="0.2">
      <c r="F232" s="381"/>
      <c r="G232" s="382"/>
      <c r="H232" s="381"/>
      <c r="I232" s="381"/>
      <c r="J232" s="381"/>
      <c r="K232" s="381"/>
      <c r="L232" s="381"/>
      <c r="M232" s="381"/>
      <c r="N232" s="381"/>
      <c r="O232" s="381"/>
      <c r="P232" s="381"/>
    </row>
    <row r="233" spans="6:16" x14ac:dyDescent="0.2">
      <c r="F233" s="381"/>
      <c r="G233" s="382"/>
      <c r="H233" s="381"/>
      <c r="I233" s="381"/>
      <c r="J233" s="381"/>
      <c r="K233" s="381"/>
      <c r="L233" s="381"/>
      <c r="M233" s="381"/>
      <c r="N233" s="381"/>
      <c r="O233" s="381"/>
      <c r="P233" s="381"/>
    </row>
    <row r="234" spans="6:16" x14ac:dyDescent="0.2">
      <c r="F234" s="381"/>
      <c r="G234" s="382"/>
      <c r="H234" s="381"/>
      <c r="I234" s="381"/>
      <c r="J234" s="381"/>
      <c r="K234" s="381"/>
      <c r="L234" s="381"/>
      <c r="M234" s="381"/>
      <c r="N234" s="381"/>
      <c r="O234" s="381"/>
      <c r="P234" s="381"/>
    </row>
    <row r="235" spans="6:16" x14ac:dyDescent="0.2">
      <c r="F235" s="381"/>
      <c r="G235" s="382"/>
      <c r="H235" s="381"/>
      <c r="I235" s="381"/>
      <c r="J235" s="381"/>
      <c r="K235" s="381"/>
      <c r="L235" s="381"/>
      <c r="M235" s="381"/>
      <c r="N235" s="381"/>
      <c r="O235" s="381"/>
      <c r="P235" s="381"/>
    </row>
    <row r="236" spans="6:16" x14ac:dyDescent="0.2">
      <c r="F236" s="381"/>
      <c r="G236" s="382"/>
      <c r="H236" s="381"/>
      <c r="I236" s="381"/>
      <c r="J236" s="381"/>
      <c r="K236" s="381"/>
      <c r="L236" s="381"/>
      <c r="M236" s="381"/>
      <c r="N236" s="381"/>
      <c r="O236" s="381"/>
      <c r="P236" s="381"/>
    </row>
    <row r="237" spans="6:16" x14ac:dyDescent="0.2">
      <c r="F237" s="381"/>
      <c r="G237" s="382"/>
      <c r="H237" s="381"/>
      <c r="I237" s="381"/>
      <c r="J237" s="381"/>
      <c r="K237" s="381"/>
      <c r="L237" s="381"/>
      <c r="M237" s="381"/>
      <c r="N237" s="381"/>
      <c r="O237" s="381"/>
      <c r="P237" s="381"/>
    </row>
    <row r="238" spans="6:16" x14ac:dyDescent="0.2">
      <c r="F238" s="381"/>
      <c r="G238" s="382"/>
      <c r="H238" s="381"/>
      <c r="I238" s="381"/>
      <c r="J238" s="381"/>
      <c r="K238" s="381"/>
      <c r="L238" s="381"/>
      <c r="M238" s="381"/>
      <c r="N238" s="381"/>
      <c r="O238" s="381"/>
      <c r="P238" s="381"/>
    </row>
    <row r="239" spans="6:16" x14ac:dyDescent="0.2">
      <c r="F239" s="381"/>
      <c r="G239" s="382"/>
      <c r="H239" s="381"/>
      <c r="I239" s="381"/>
      <c r="J239" s="381"/>
      <c r="K239" s="381"/>
      <c r="L239" s="381"/>
      <c r="M239" s="381"/>
      <c r="N239" s="381"/>
      <c r="O239" s="381"/>
      <c r="P239" s="381"/>
    </row>
    <row r="240" spans="6:16" x14ac:dyDescent="0.2">
      <c r="F240" s="381"/>
      <c r="G240" s="382"/>
      <c r="H240" s="381"/>
      <c r="I240" s="381"/>
      <c r="J240" s="381"/>
      <c r="K240" s="381"/>
      <c r="L240" s="381"/>
      <c r="M240" s="381"/>
      <c r="N240" s="381"/>
      <c r="O240" s="381"/>
      <c r="P240" s="381"/>
    </row>
    <row r="241" spans="6:16" x14ac:dyDescent="0.2">
      <c r="F241" s="381"/>
      <c r="G241" s="382"/>
      <c r="H241" s="381"/>
      <c r="I241" s="381"/>
      <c r="J241" s="381"/>
      <c r="K241" s="381"/>
      <c r="L241" s="381"/>
      <c r="M241" s="381"/>
      <c r="N241" s="381"/>
      <c r="O241" s="381"/>
      <c r="P241" s="381"/>
    </row>
    <row r="242" spans="6:16" x14ac:dyDescent="0.2">
      <c r="F242" s="381"/>
      <c r="G242" s="382"/>
      <c r="H242" s="381"/>
      <c r="I242" s="381"/>
      <c r="J242" s="381"/>
      <c r="K242" s="381"/>
      <c r="L242" s="381"/>
      <c r="M242" s="381"/>
      <c r="N242" s="381"/>
      <c r="O242" s="381"/>
      <c r="P242" s="381"/>
    </row>
    <row r="243" spans="6:16" x14ac:dyDescent="0.2">
      <c r="F243" s="381"/>
      <c r="G243" s="382"/>
      <c r="H243" s="381"/>
      <c r="I243" s="381"/>
      <c r="J243" s="381"/>
      <c r="K243" s="381"/>
      <c r="L243" s="381"/>
      <c r="M243" s="381"/>
      <c r="N243" s="381"/>
      <c r="O243" s="381"/>
      <c r="P243" s="381"/>
    </row>
    <row r="244" spans="6:16" x14ac:dyDescent="0.2">
      <c r="F244" s="381"/>
      <c r="G244" s="382"/>
      <c r="H244" s="381"/>
      <c r="I244" s="381"/>
      <c r="J244" s="381"/>
      <c r="K244" s="381"/>
      <c r="L244" s="381"/>
      <c r="M244" s="381"/>
      <c r="N244" s="381"/>
      <c r="O244" s="381"/>
      <c r="P244" s="381"/>
    </row>
    <row r="245" spans="6:16" x14ac:dyDescent="0.2">
      <c r="F245" s="381"/>
      <c r="G245" s="382"/>
      <c r="H245" s="381"/>
      <c r="I245" s="381"/>
      <c r="J245" s="381"/>
      <c r="K245" s="381"/>
      <c r="L245" s="381"/>
      <c r="M245" s="381"/>
      <c r="N245" s="381"/>
      <c r="O245" s="381"/>
      <c r="P245" s="381"/>
    </row>
    <row r="246" spans="6:16" x14ac:dyDescent="0.2">
      <c r="F246" s="381"/>
      <c r="G246" s="382"/>
      <c r="H246" s="381"/>
      <c r="I246" s="381"/>
      <c r="J246" s="381"/>
      <c r="K246" s="381"/>
      <c r="L246" s="381"/>
      <c r="M246" s="381"/>
      <c r="N246" s="381"/>
      <c r="O246" s="381"/>
      <c r="P246" s="381"/>
    </row>
    <row r="247" spans="6:16" x14ac:dyDescent="0.2">
      <c r="F247" s="381"/>
      <c r="G247" s="382"/>
      <c r="H247" s="381"/>
      <c r="I247" s="381"/>
      <c r="J247" s="381"/>
      <c r="K247" s="381"/>
      <c r="L247" s="381"/>
      <c r="M247" s="381"/>
      <c r="N247" s="381"/>
      <c r="O247" s="381"/>
      <c r="P247" s="381"/>
    </row>
    <row r="248" spans="6:16" x14ac:dyDescent="0.2">
      <c r="F248" s="381"/>
      <c r="G248" s="382"/>
      <c r="H248" s="381"/>
      <c r="I248" s="381"/>
      <c r="J248" s="381"/>
      <c r="K248" s="381"/>
      <c r="L248" s="381"/>
      <c r="M248" s="381"/>
      <c r="N248" s="381"/>
      <c r="O248" s="381"/>
      <c r="P248" s="381"/>
    </row>
    <row r="249" spans="6:16" x14ac:dyDescent="0.2">
      <c r="F249" s="381"/>
      <c r="G249" s="382"/>
      <c r="H249" s="381"/>
      <c r="I249" s="381"/>
      <c r="J249" s="381"/>
      <c r="K249" s="381"/>
      <c r="L249" s="381"/>
      <c r="M249" s="381"/>
      <c r="N249" s="381"/>
      <c r="O249" s="381"/>
      <c r="P249" s="381"/>
    </row>
    <row r="250" spans="6:16" x14ac:dyDescent="0.2">
      <c r="F250" s="381"/>
      <c r="G250" s="382"/>
      <c r="H250" s="381"/>
      <c r="I250" s="381"/>
      <c r="J250" s="381"/>
      <c r="K250" s="381"/>
      <c r="L250" s="381"/>
      <c r="M250" s="381"/>
      <c r="N250" s="381"/>
      <c r="O250" s="381"/>
      <c r="P250" s="381"/>
    </row>
    <row r="251" spans="6:16" x14ac:dyDescent="0.2">
      <c r="F251" s="381"/>
      <c r="G251" s="382"/>
      <c r="H251" s="381"/>
      <c r="I251" s="381"/>
      <c r="J251" s="381"/>
      <c r="K251" s="381"/>
      <c r="L251" s="381"/>
      <c r="M251" s="381"/>
      <c r="N251" s="381"/>
      <c r="O251" s="381"/>
      <c r="P251" s="381"/>
    </row>
    <row r="252" spans="6:16" x14ac:dyDescent="0.2">
      <c r="F252" s="381"/>
      <c r="G252" s="382"/>
      <c r="H252" s="381"/>
      <c r="I252" s="381"/>
      <c r="J252" s="381"/>
      <c r="K252" s="381"/>
      <c r="L252" s="381"/>
      <c r="M252" s="381"/>
      <c r="N252" s="381"/>
      <c r="O252" s="381"/>
      <c r="P252" s="381"/>
    </row>
    <row r="253" spans="6:16" x14ac:dyDescent="0.2">
      <c r="F253" s="381"/>
      <c r="G253" s="382"/>
      <c r="H253" s="381"/>
      <c r="I253" s="381"/>
      <c r="J253" s="381"/>
      <c r="K253" s="381"/>
      <c r="L253" s="381"/>
      <c r="M253" s="381"/>
      <c r="N253" s="381"/>
      <c r="O253" s="381"/>
      <c r="P253" s="381"/>
    </row>
    <row r="254" spans="6:16" x14ac:dyDescent="0.2">
      <c r="F254" s="381"/>
      <c r="G254" s="382"/>
      <c r="H254" s="381"/>
      <c r="I254" s="381"/>
      <c r="J254" s="381"/>
      <c r="K254" s="381"/>
      <c r="L254" s="381"/>
      <c r="M254" s="381"/>
      <c r="N254" s="381"/>
      <c r="O254" s="381"/>
      <c r="P254" s="381"/>
    </row>
    <row r="255" spans="6:16" x14ac:dyDescent="0.2">
      <c r="F255" s="381"/>
      <c r="G255" s="382"/>
      <c r="H255" s="381"/>
      <c r="I255" s="381"/>
      <c r="J255" s="381"/>
      <c r="K255" s="381"/>
      <c r="L255" s="381"/>
      <c r="M255" s="381"/>
      <c r="N255" s="381"/>
      <c r="O255" s="381"/>
      <c r="P255" s="381"/>
    </row>
    <row r="256" spans="6:16" x14ac:dyDescent="0.2">
      <c r="F256" s="381"/>
      <c r="G256" s="382"/>
      <c r="H256" s="381"/>
      <c r="I256" s="381"/>
      <c r="J256" s="381"/>
      <c r="K256" s="381"/>
      <c r="L256" s="381"/>
      <c r="M256" s="381"/>
      <c r="N256" s="381"/>
      <c r="O256" s="381"/>
      <c r="P256" s="381"/>
    </row>
    <row r="257" spans="6:16" x14ac:dyDescent="0.2">
      <c r="F257" s="381"/>
      <c r="G257" s="382"/>
      <c r="H257" s="381"/>
      <c r="I257" s="381"/>
      <c r="J257" s="381"/>
      <c r="K257" s="381"/>
      <c r="L257" s="381"/>
      <c r="M257" s="381"/>
      <c r="N257" s="381"/>
      <c r="O257" s="381"/>
      <c r="P257" s="381"/>
    </row>
    <row r="258" spans="6:16" x14ac:dyDescent="0.2">
      <c r="F258" s="381"/>
      <c r="G258" s="382"/>
      <c r="H258" s="381"/>
      <c r="I258" s="381"/>
      <c r="J258" s="381"/>
      <c r="K258" s="381"/>
      <c r="L258" s="381"/>
      <c r="M258" s="381"/>
      <c r="N258" s="381"/>
      <c r="O258" s="381"/>
      <c r="P258" s="381"/>
    </row>
    <row r="259" spans="6:16" x14ac:dyDescent="0.2">
      <c r="F259" s="381"/>
      <c r="G259" s="382"/>
      <c r="H259" s="381"/>
      <c r="I259" s="381"/>
      <c r="J259" s="381"/>
      <c r="K259" s="381"/>
      <c r="L259" s="381"/>
      <c r="M259" s="381"/>
      <c r="N259" s="381"/>
      <c r="O259" s="381"/>
      <c r="P259" s="381"/>
    </row>
    <row r="260" spans="6:16" x14ac:dyDescent="0.2">
      <c r="F260" s="381"/>
      <c r="G260" s="382"/>
      <c r="H260" s="381"/>
      <c r="I260" s="381"/>
      <c r="J260" s="381"/>
      <c r="K260" s="381"/>
      <c r="L260" s="381"/>
      <c r="M260" s="381"/>
      <c r="N260" s="381"/>
      <c r="O260" s="381"/>
      <c r="P260" s="381"/>
    </row>
    <row r="261" spans="6:16" x14ac:dyDescent="0.2">
      <c r="F261" s="381"/>
      <c r="G261" s="382"/>
      <c r="H261" s="381"/>
      <c r="I261" s="381"/>
      <c r="J261" s="381"/>
      <c r="K261" s="381"/>
      <c r="L261" s="381"/>
      <c r="M261" s="381"/>
      <c r="N261" s="381"/>
      <c r="O261" s="381"/>
      <c r="P261" s="381"/>
    </row>
    <row r="262" spans="6:16" x14ac:dyDescent="0.2">
      <c r="F262" s="381"/>
      <c r="G262" s="382"/>
      <c r="H262" s="381"/>
      <c r="I262" s="381"/>
      <c r="J262" s="381"/>
      <c r="K262" s="381"/>
      <c r="L262" s="381"/>
      <c r="M262" s="381"/>
      <c r="N262" s="381"/>
      <c r="O262" s="381"/>
      <c r="P262" s="381"/>
    </row>
    <row r="263" spans="6:16" x14ac:dyDescent="0.2">
      <c r="F263" s="381"/>
      <c r="G263" s="382"/>
      <c r="H263" s="381"/>
      <c r="I263" s="381"/>
      <c r="J263" s="381"/>
      <c r="K263" s="381"/>
      <c r="L263" s="381"/>
      <c r="M263" s="381"/>
      <c r="N263" s="381"/>
      <c r="O263" s="381"/>
      <c r="P263" s="381"/>
    </row>
    <row r="264" spans="6:16" x14ac:dyDescent="0.2">
      <c r="F264" s="381"/>
      <c r="G264" s="382"/>
      <c r="H264" s="381"/>
      <c r="I264" s="381"/>
      <c r="J264" s="381"/>
      <c r="K264" s="381"/>
      <c r="L264" s="381"/>
      <c r="M264" s="381"/>
      <c r="N264" s="381"/>
      <c r="O264" s="381"/>
      <c r="P264" s="381"/>
    </row>
    <row r="265" spans="6:16" x14ac:dyDescent="0.2">
      <c r="F265" s="381"/>
      <c r="G265" s="382"/>
      <c r="H265" s="381"/>
      <c r="I265" s="381"/>
      <c r="J265" s="381"/>
      <c r="K265" s="381"/>
      <c r="L265" s="381"/>
      <c r="M265" s="381"/>
      <c r="N265" s="381"/>
      <c r="O265" s="381"/>
      <c r="P265" s="381"/>
    </row>
    <row r="266" spans="6:16" x14ac:dyDescent="0.2">
      <c r="F266" s="381"/>
      <c r="G266" s="382"/>
      <c r="H266" s="381"/>
      <c r="I266" s="381"/>
      <c r="J266" s="381"/>
      <c r="K266" s="381"/>
      <c r="L266" s="381"/>
      <c r="M266" s="381"/>
      <c r="N266" s="381"/>
      <c r="O266" s="381"/>
      <c r="P266" s="381"/>
    </row>
    <row r="267" spans="6:16" x14ac:dyDescent="0.2">
      <c r="F267" s="381"/>
      <c r="G267" s="382"/>
      <c r="H267" s="381"/>
      <c r="I267" s="381"/>
      <c r="J267" s="381"/>
      <c r="K267" s="381"/>
      <c r="L267" s="381"/>
      <c r="M267" s="381"/>
      <c r="N267" s="381"/>
      <c r="O267" s="381"/>
      <c r="P267" s="381"/>
    </row>
    <row r="268" spans="6:16" x14ac:dyDescent="0.2">
      <c r="F268" s="381"/>
      <c r="G268" s="382"/>
      <c r="H268" s="381"/>
      <c r="I268" s="381"/>
      <c r="J268" s="381"/>
      <c r="K268" s="381"/>
      <c r="L268" s="381"/>
      <c r="M268" s="381"/>
      <c r="N268" s="381"/>
      <c r="O268" s="381"/>
      <c r="P268" s="381"/>
    </row>
    <row r="269" spans="6:16" x14ac:dyDescent="0.2">
      <c r="F269" s="381"/>
      <c r="G269" s="382"/>
      <c r="H269" s="381"/>
      <c r="I269" s="381"/>
      <c r="J269" s="381"/>
      <c r="K269" s="381"/>
      <c r="L269" s="381"/>
      <c r="M269" s="381"/>
      <c r="N269" s="381"/>
      <c r="O269" s="381"/>
      <c r="P269" s="381"/>
    </row>
    <row r="270" spans="6:16" x14ac:dyDescent="0.2">
      <c r="F270" s="381"/>
      <c r="G270" s="382"/>
      <c r="H270" s="381"/>
      <c r="I270" s="381"/>
      <c r="J270" s="381"/>
      <c r="K270" s="381"/>
      <c r="L270" s="381"/>
      <c r="M270" s="381"/>
      <c r="N270" s="381"/>
      <c r="O270" s="381"/>
      <c r="P270" s="381"/>
    </row>
    <row r="271" spans="6:16" x14ac:dyDescent="0.2">
      <c r="F271" s="381"/>
      <c r="G271" s="382"/>
      <c r="H271" s="381"/>
      <c r="I271" s="381"/>
      <c r="J271" s="381"/>
      <c r="K271" s="381"/>
      <c r="L271" s="381"/>
      <c r="M271" s="381"/>
      <c r="N271" s="381"/>
      <c r="O271" s="381"/>
      <c r="P271" s="381"/>
    </row>
    <row r="272" spans="6:16" x14ac:dyDescent="0.2">
      <c r="F272" s="381"/>
      <c r="G272" s="382"/>
      <c r="H272" s="381"/>
      <c r="I272" s="381"/>
      <c r="J272" s="381"/>
      <c r="K272" s="381"/>
      <c r="L272" s="381"/>
      <c r="M272" s="381"/>
      <c r="N272" s="381"/>
      <c r="O272" s="381"/>
      <c r="P272" s="381"/>
    </row>
    <row r="273" spans="6:16" x14ac:dyDescent="0.2">
      <c r="F273" s="381"/>
      <c r="G273" s="382"/>
      <c r="H273" s="381"/>
      <c r="I273" s="381"/>
      <c r="J273" s="381"/>
      <c r="K273" s="381"/>
      <c r="L273" s="381"/>
      <c r="M273" s="381"/>
      <c r="N273" s="381"/>
      <c r="O273" s="381"/>
      <c r="P273" s="381"/>
    </row>
    <row r="274" spans="6:16" x14ac:dyDescent="0.2">
      <c r="F274" s="381"/>
      <c r="G274" s="382"/>
      <c r="H274" s="381"/>
      <c r="I274" s="381"/>
      <c r="J274" s="381"/>
      <c r="K274" s="381"/>
      <c r="L274" s="381"/>
      <c r="M274" s="381"/>
      <c r="N274" s="381"/>
      <c r="O274" s="381"/>
      <c r="P274" s="381"/>
    </row>
    <row r="275" spans="6:16" x14ac:dyDescent="0.2">
      <c r="F275" s="381"/>
      <c r="G275" s="382"/>
      <c r="H275" s="381"/>
      <c r="I275" s="381"/>
      <c r="J275" s="381"/>
      <c r="K275" s="381"/>
      <c r="L275" s="381"/>
      <c r="M275" s="381"/>
      <c r="N275" s="381"/>
      <c r="O275" s="381"/>
      <c r="P275" s="381"/>
    </row>
    <row r="276" spans="6:16" x14ac:dyDescent="0.2">
      <c r="F276" s="381"/>
      <c r="G276" s="382"/>
      <c r="H276" s="381"/>
      <c r="I276" s="381"/>
      <c r="J276" s="381"/>
      <c r="K276" s="381"/>
      <c r="L276" s="381"/>
      <c r="M276" s="381"/>
      <c r="N276" s="381"/>
      <c r="O276" s="381"/>
      <c r="P276" s="381"/>
    </row>
    <row r="277" spans="6:16" x14ac:dyDescent="0.2">
      <c r="F277" s="381"/>
      <c r="G277" s="382"/>
      <c r="H277" s="381"/>
      <c r="I277" s="381"/>
      <c r="J277" s="381"/>
      <c r="K277" s="381"/>
      <c r="L277" s="381"/>
      <c r="M277" s="381"/>
      <c r="N277" s="381"/>
      <c r="O277" s="381"/>
      <c r="P277" s="381"/>
    </row>
    <row r="278" spans="6:16" x14ac:dyDescent="0.2">
      <c r="F278" s="381"/>
      <c r="G278" s="382"/>
      <c r="H278" s="381"/>
      <c r="I278" s="381"/>
      <c r="J278" s="381"/>
      <c r="K278" s="381"/>
      <c r="L278" s="381"/>
      <c r="M278" s="381"/>
      <c r="N278" s="381"/>
      <c r="O278" s="381"/>
      <c r="P278" s="381"/>
    </row>
    <row r="279" spans="6:16" x14ac:dyDescent="0.2">
      <c r="F279" s="381"/>
      <c r="G279" s="382"/>
      <c r="H279" s="381"/>
      <c r="I279" s="381"/>
      <c r="J279" s="381"/>
      <c r="K279" s="381"/>
      <c r="L279" s="381"/>
      <c r="M279" s="381"/>
      <c r="N279" s="381"/>
      <c r="O279" s="381"/>
      <c r="P279" s="381"/>
    </row>
    <row r="280" spans="6:16" x14ac:dyDescent="0.2">
      <c r="F280" s="381"/>
      <c r="G280" s="382"/>
      <c r="H280" s="381"/>
      <c r="I280" s="381"/>
      <c r="J280" s="381"/>
      <c r="K280" s="381"/>
      <c r="L280" s="381"/>
      <c r="M280" s="381"/>
      <c r="N280" s="381"/>
      <c r="O280" s="381"/>
      <c r="P280" s="381"/>
    </row>
    <row r="281" spans="6:16" x14ac:dyDescent="0.2">
      <c r="F281" s="381"/>
      <c r="G281" s="382"/>
      <c r="H281" s="381"/>
      <c r="I281" s="381"/>
      <c r="J281" s="381"/>
      <c r="K281" s="381"/>
      <c r="L281" s="381"/>
      <c r="M281" s="381"/>
      <c r="N281" s="381"/>
      <c r="O281" s="381"/>
      <c r="P281" s="381"/>
    </row>
    <row r="282" spans="6:16" x14ac:dyDescent="0.2">
      <c r="F282" s="381"/>
      <c r="G282" s="382"/>
      <c r="H282" s="381"/>
      <c r="I282" s="381"/>
      <c r="J282" s="381"/>
      <c r="K282" s="381"/>
      <c r="L282" s="381"/>
      <c r="M282" s="381"/>
      <c r="N282" s="381"/>
      <c r="O282" s="381"/>
      <c r="P282" s="381"/>
    </row>
    <row r="283" spans="6:16" x14ac:dyDescent="0.2">
      <c r="F283" s="381"/>
      <c r="G283" s="382"/>
      <c r="H283" s="381"/>
      <c r="I283" s="381"/>
      <c r="J283" s="381"/>
      <c r="K283" s="381"/>
      <c r="L283" s="381"/>
      <c r="M283" s="381"/>
      <c r="N283" s="381"/>
      <c r="O283" s="381"/>
      <c r="P283" s="381"/>
    </row>
    <row r="284" spans="6:16" x14ac:dyDescent="0.2">
      <c r="F284" s="381"/>
      <c r="G284" s="382"/>
      <c r="H284" s="381"/>
      <c r="I284" s="381"/>
      <c r="J284" s="381"/>
      <c r="K284" s="381"/>
      <c r="L284" s="381"/>
      <c r="M284" s="381"/>
      <c r="N284" s="381"/>
      <c r="O284" s="381"/>
      <c r="P284" s="381"/>
    </row>
    <row r="285" spans="6:16" x14ac:dyDescent="0.2">
      <c r="F285" s="381"/>
      <c r="G285" s="382"/>
      <c r="H285" s="381"/>
      <c r="I285" s="381"/>
      <c r="J285" s="381"/>
      <c r="K285" s="381"/>
      <c r="L285" s="381"/>
      <c r="M285" s="381"/>
      <c r="N285" s="381"/>
      <c r="O285" s="381"/>
      <c r="P285" s="381"/>
    </row>
    <row r="286" spans="6:16" x14ac:dyDescent="0.2">
      <c r="F286" s="381"/>
      <c r="G286" s="382"/>
      <c r="H286" s="381"/>
      <c r="I286" s="381"/>
      <c r="J286" s="381"/>
      <c r="K286" s="381"/>
      <c r="L286" s="381"/>
      <c r="M286" s="381"/>
      <c r="N286" s="381"/>
      <c r="O286" s="381"/>
      <c r="P286" s="381"/>
    </row>
    <row r="287" spans="6:16" x14ac:dyDescent="0.2">
      <c r="F287" s="381"/>
      <c r="G287" s="382"/>
      <c r="H287" s="381"/>
      <c r="I287" s="381"/>
      <c r="J287" s="381"/>
      <c r="K287" s="381"/>
      <c r="L287" s="381"/>
      <c r="M287" s="381"/>
      <c r="N287" s="381"/>
      <c r="O287" s="381"/>
      <c r="P287" s="381"/>
    </row>
    <row r="288" spans="6:16" x14ac:dyDescent="0.2">
      <c r="F288" s="381"/>
      <c r="G288" s="382"/>
      <c r="H288" s="381"/>
      <c r="I288" s="381"/>
      <c r="J288" s="381"/>
      <c r="K288" s="381"/>
      <c r="L288" s="381"/>
      <c r="M288" s="381"/>
      <c r="N288" s="381"/>
      <c r="O288" s="381"/>
      <c r="P288" s="381"/>
    </row>
    <row r="289" spans="6:16" x14ac:dyDescent="0.2">
      <c r="F289" s="381"/>
      <c r="G289" s="382"/>
      <c r="H289" s="381"/>
      <c r="I289" s="381"/>
      <c r="J289" s="381"/>
      <c r="K289" s="381"/>
      <c r="L289" s="381"/>
      <c r="M289" s="381"/>
      <c r="N289" s="381"/>
      <c r="O289" s="381"/>
      <c r="P289" s="381"/>
    </row>
    <row r="290" spans="6:16" x14ac:dyDescent="0.2">
      <c r="F290" s="381"/>
      <c r="G290" s="382"/>
      <c r="H290" s="381"/>
      <c r="I290" s="381"/>
      <c r="J290" s="381"/>
      <c r="K290" s="381"/>
      <c r="L290" s="381"/>
      <c r="M290" s="381"/>
      <c r="N290" s="381"/>
      <c r="O290" s="381"/>
      <c r="P290" s="381"/>
    </row>
    <row r="291" spans="6:16" x14ac:dyDescent="0.2">
      <c r="F291" s="381"/>
      <c r="G291" s="382"/>
      <c r="H291" s="381"/>
      <c r="I291" s="381"/>
      <c r="J291" s="381"/>
      <c r="K291" s="381"/>
      <c r="L291" s="381"/>
      <c r="M291" s="381"/>
      <c r="N291" s="381"/>
      <c r="O291" s="381"/>
      <c r="P291" s="381"/>
    </row>
    <row r="292" spans="6:16" x14ac:dyDescent="0.2">
      <c r="F292" s="381"/>
      <c r="G292" s="382"/>
      <c r="H292" s="381"/>
      <c r="I292" s="381"/>
      <c r="J292" s="381"/>
      <c r="K292" s="381"/>
      <c r="L292" s="381"/>
      <c r="M292" s="381"/>
      <c r="N292" s="381"/>
      <c r="O292" s="381"/>
      <c r="P292" s="381"/>
    </row>
    <row r="293" spans="6:16" x14ac:dyDescent="0.2">
      <c r="F293" s="381"/>
      <c r="G293" s="382"/>
      <c r="H293" s="381"/>
      <c r="I293" s="381"/>
      <c r="J293" s="381"/>
      <c r="K293" s="381"/>
      <c r="L293" s="381"/>
      <c r="M293" s="381"/>
      <c r="N293" s="381"/>
      <c r="O293" s="381"/>
      <c r="P293" s="381"/>
    </row>
    <row r="294" spans="6:16" x14ac:dyDescent="0.2">
      <c r="F294" s="381"/>
      <c r="G294" s="382"/>
      <c r="H294" s="381"/>
      <c r="I294" s="381"/>
      <c r="J294" s="381"/>
      <c r="K294" s="381"/>
      <c r="L294" s="381"/>
      <c r="M294" s="381"/>
      <c r="N294" s="381"/>
      <c r="O294" s="381"/>
      <c r="P294" s="381"/>
    </row>
    <row r="295" spans="6:16" x14ac:dyDescent="0.2">
      <c r="F295" s="381"/>
      <c r="G295" s="382"/>
      <c r="H295" s="381"/>
      <c r="I295" s="381"/>
      <c r="J295" s="381"/>
      <c r="K295" s="381"/>
      <c r="L295" s="381"/>
      <c r="M295" s="381"/>
      <c r="N295" s="381"/>
      <c r="O295" s="381"/>
      <c r="P295" s="381"/>
    </row>
    <row r="296" spans="6:16" x14ac:dyDescent="0.2">
      <c r="F296" s="381"/>
      <c r="G296" s="382"/>
      <c r="H296" s="381"/>
      <c r="I296" s="381"/>
      <c r="J296" s="381"/>
      <c r="K296" s="381"/>
      <c r="L296" s="381"/>
      <c r="M296" s="381"/>
      <c r="N296" s="381"/>
      <c r="O296" s="381"/>
      <c r="P296" s="381"/>
    </row>
    <row r="297" spans="6:16" x14ac:dyDescent="0.2">
      <c r="F297" s="381"/>
      <c r="G297" s="382"/>
      <c r="H297" s="381"/>
      <c r="I297" s="381"/>
      <c r="J297" s="381"/>
      <c r="K297" s="381"/>
      <c r="L297" s="381"/>
      <c r="M297" s="381"/>
      <c r="N297" s="381"/>
      <c r="O297" s="381"/>
      <c r="P297" s="381"/>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BA109"/>
  <sheetViews>
    <sheetView zoomScale="90" zoomScaleNormal="90" workbookViewId="0">
      <pane xSplit="1" ySplit="10" topLeftCell="B23" activePane="bottomRight" state="frozen"/>
      <selection activeCell="B5" sqref="B5:H5"/>
      <selection pane="topRight" activeCell="B5" sqref="B5:H5"/>
      <selection pane="bottomLeft" activeCell="B5" sqref="B5:H5"/>
      <selection pane="bottomRight" activeCell="I81" sqref="I81"/>
    </sheetView>
  </sheetViews>
  <sheetFormatPr defaultColWidth="9.140625" defaultRowHeight="12.75" x14ac:dyDescent="0.2"/>
  <cols>
    <col min="1" max="1" width="9.140625" style="3"/>
    <col min="2" max="4" width="9.5703125" style="3" customWidth="1"/>
    <col min="5" max="10" width="9.5703125" style="7" customWidth="1"/>
    <col min="11" max="11" width="8.42578125" style="52"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48"/>
    <col min="33" max="43" width="9.140625" style="3"/>
    <col min="44" max="44" width="16.28515625" style="3" customWidth="1"/>
    <col min="45" max="45" width="5" style="3" customWidth="1"/>
    <col min="46" max="51" width="9.140625" style="3"/>
    <col min="52" max="52" width="9.140625" style="3" customWidth="1"/>
    <col min="53" max="16384" width="9.140625" style="3"/>
  </cols>
  <sheetData>
    <row r="1" spans="1:53" x14ac:dyDescent="0.2">
      <c r="A1" s="54" t="s">
        <v>4</v>
      </c>
      <c r="M1" s="3" t="s">
        <v>394</v>
      </c>
      <c r="P1" s="3" t="s">
        <v>362</v>
      </c>
    </row>
    <row r="2" spans="1:53" x14ac:dyDescent="0.2">
      <c r="A2" s="339" t="s">
        <v>413</v>
      </c>
      <c r="B2" s="340"/>
      <c r="C2" s="340"/>
      <c r="D2" s="340"/>
      <c r="E2" s="1212" t="s">
        <v>414</v>
      </c>
      <c r="F2" s="52"/>
      <c r="G2" s="55" t="s">
        <v>415</v>
      </c>
      <c r="H2" s="55"/>
      <c r="I2" s="55"/>
      <c r="J2" s="55"/>
      <c r="K2" s="98"/>
      <c r="L2" s="56" t="s">
        <v>208</v>
      </c>
      <c r="M2" s="2">
        <v>134200</v>
      </c>
      <c r="N2" s="3" t="s">
        <v>209</v>
      </c>
      <c r="P2" s="3">
        <f>107.932/104.757</f>
        <v>1.0303082371583761</v>
      </c>
      <c r="Q2" s="3" t="s">
        <v>419</v>
      </c>
      <c r="X2" s="10"/>
      <c r="Y2" s="10"/>
      <c r="Z2" s="10"/>
      <c r="AA2" s="10"/>
    </row>
    <row r="3" spans="1:53" x14ac:dyDescent="0.2">
      <c r="A3" s="341" t="s">
        <v>203</v>
      </c>
      <c r="B3" s="340"/>
      <c r="C3" s="342"/>
      <c r="D3" s="340"/>
      <c r="E3" s="98" t="s">
        <v>430</v>
      </c>
      <c r="F3" s="52"/>
      <c r="L3" s="56" t="s">
        <v>314</v>
      </c>
      <c r="M3" s="2">
        <v>138700</v>
      </c>
      <c r="N3" s="3" t="s">
        <v>315</v>
      </c>
      <c r="W3" s="613"/>
      <c r="X3" s="10"/>
      <c r="Y3" s="1220"/>
      <c r="Z3" s="10"/>
      <c r="AA3" s="10"/>
    </row>
    <row r="4" spans="1:53" x14ac:dyDescent="0.2">
      <c r="A4" s="501" t="s">
        <v>444</v>
      </c>
      <c r="B4" s="502"/>
      <c r="C4" s="503"/>
      <c r="D4" s="502"/>
      <c r="E4" s="98" t="s">
        <v>445</v>
      </c>
      <c r="F4" s="52"/>
      <c r="L4" s="56" t="s">
        <v>426</v>
      </c>
      <c r="M4" s="2">
        <v>120726</v>
      </c>
      <c r="N4" s="3" t="s">
        <v>315</v>
      </c>
      <c r="O4" s="3" t="s">
        <v>427</v>
      </c>
      <c r="W4" s="613"/>
    </row>
    <row r="5" spans="1:53" ht="15.75" x14ac:dyDescent="0.25">
      <c r="A5" s="57"/>
      <c r="B5" s="48"/>
      <c r="C5" s="58"/>
      <c r="D5" s="48"/>
      <c r="E5" s="52"/>
      <c r="F5" s="52"/>
      <c r="G5" s="1104"/>
      <c r="L5" s="459"/>
      <c r="M5" s="3">
        <v>2.9306999999999998E-4</v>
      </c>
      <c r="N5" s="3" t="s">
        <v>453</v>
      </c>
      <c r="X5" s="1219" t="s">
        <v>323</v>
      </c>
    </row>
    <row r="6" spans="1:53" ht="16.5" thickBot="1" x14ac:dyDescent="0.3">
      <c r="D6" s="48"/>
      <c r="E6" s="48"/>
      <c r="F6" s="3"/>
      <c r="G6" s="1104"/>
      <c r="H6" s="3"/>
      <c r="I6" s="3"/>
      <c r="J6" s="3"/>
      <c r="K6" s="3"/>
      <c r="U6" s="343" t="s">
        <v>442</v>
      </c>
      <c r="X6" s="1216">
        <f>2.24/2.86</f>
        <v>0.78321678321678334</v>
      </c>
      <c r="Y6" s="1216">
        <f>2.34/2.2</f>
        <v>1.0636363636363635</v>
      </c>
      <c r="Z6" s="1216">
        <f>AVERAGE(2.54/2.77,2.54/2.64,2.65/2.56,2.43/2.57,3.11/3.42)</f>
        <v>0.95382539762429508</v>
      </c>
      <c r="AA6" s="1221">
        <v>1</v>
      </c>
      <c r="AB6" s="1216">
        <f>AVERAGE(3.14/3.15,3.13/3.14,2.68/2.93,2.65/2.91)</f>
        <v>0.95474234308247208</v>
      </c>
      <c r="AC6" s="1221">
        <v>1</v>
      </c>
      <c r="AD6" s="1216">
        <f>1.93/2.23</f>
        <v>0.86547085201793716</v>
      </c>
      <c r="AE6" s="1221">
        <v>1</v>
      </c>
      <c r="AF6" s="7"/>
      <c r="AG6" s="52"/>
      <c r="AH6" s="459"/>
      <c r="AV6" s="3" t="s">
        <v>420</v>
      </c>
    </row>
    <row r="7" spans="1:53" ht="16.5" customHeight="1" thickBot="1" x14ac:dyDescent="0.3">
      <c r="A7" s="1526" t="s">
        <v>279</v>
      </c>
      <c r="B7" s="1527"/>
      <c r="C7" s="1527"/>
      <c r="D7" s="1527"/>
      <c r="E7" s="1527"/>
      <c r="F7" s="1527"/>
      <c r="G7" s="1527"/>
      <c r="H7" s="1527"/>
      <c r="I7" s="1527"/>
      <c r="J7" s="1527"/>
      <c r="K7" s="1527"/>
      <c r="L7" s="1527"/>
      <c r="M7" s="1527"/>
      <c r="N7" s="1527"/>
      <c r="O7" s="1527"/>
      <c r="P7" s="1527"/>
      <c r="Q7" s="1527"/>
      <c r="R7" s="1527"/>
      <c r="S7" s="1527"/>
      <c r="T7" s="1527"/>
      <c r="U7" s="1222" t="b">
        <v>1</v>
      </c>
      <c r="W7" s="1526" t="s">
        <v>278</v>
      </c>
      <c r="X7" s="1527"/>
      <c r="Y7" s="1527"/>
      <c r="Z7" s="1527"/>
      <c r="AA7" s="1527"/>
      <c r="AB7" s="1527"/>
      <c r="AC7" s="1527"/>
      <c r="AD7" s="1527"/>
      <c r="AE7" s="1527"/>
      <c r="AF7" s="1527"/>
      <c r="AG7" s="1527"/>
      <c r="AH7" s="1527"/>
      <c r="AI7" s="1527"/>
      <c r="AJ7" s="1527"/>
      <c r="AK7" s="1527"/>
      <c r="AL7" s="1527"/>
      <c r="AM7" s="1527"/>
      <c r="AN7" s="1527"/>
      <c r="AO7" s="1527"/>
      <c r="AP7" s="1528"/>
      <c r="AQ7" s="812"/>
      <c r="AV7" s="3" t="s">
        <v>422</v>
      </c>
    </row>
    <row r="8" spans="1:53" ht="12.75" customHeight="1" x14ac:dyDescent="0.2">
      <c r="A8" s="404"/>
      <c r="B8" s="1529" t="s">
        <v>416</v>
      </c>
      <c r="C8" s="1529"/>
      <c r="D8" s="1529"/>
      <c r="E8" s="1529"/>
      <c r="F8" s="1529"/>
      <c r="G8" s="1529"/>
      <c r="H8" s="1529"/>
      <c r="I8" s="1529"/>
      <c r="J8" s="799"/>
      <c r="K8" s="799"/>
      <c r="L8" s="1530" t="s">
        <v>417</v>
      </c>
      <c r="M8" s="1530"/>
      <c r="N8" s="1530"/>
      <c r="O8" s="1530"/>
      <c r="P8" s="1530"/>
      <c r="Q8" s="1530"/>
      <c r="R8" s="1530"/>
      <c r="S8" s="1530"/>
      <c r="T8" s="405"/>
      <c r="U8" s="343"/>
      <c r="W8" s="802"/>
      <c r="X8" s="1530" t="s">
        <v>418</v>
      </c>
      <c r="Y8" s="1530"/>
      <c r="Z8" s="1530"/>
      <c r="AA8" s="1530"/>
      <c r="AB8" s="1530"/>
      <c r="AC8" s="1530"/>
      <c r="AD8" s="1530"/>
      <c r="AE8" s="1530"/>
      <c r="AF8" s="1210"/>
      <c r="AG8" s="1210"/>
      <c r="AH8" s="1530" t="s">
        <v>417</v>
      </c>
      <c r="AI8" s="1530"/>
      <c r="AJ8" s="1530"/>
      <c r="AK8" s="1530"/>
      <c r="AL8" s="1530"/>
      <c r="AM8" s="1530"/>
      <c r="AN8" s="1530"/>
      <c r="AO8" s="1530"/>
      <c r="AP8" s="803"/>
      <c r="AQ8" s="813"/>
      <c r="AV8" s="3" t="s">
        <v>423</v>
      </c>
      <c r="AX8" s="3" t="s">
        <v>424</v>
      </c>
      <c r="AZ8" s="3" t="s">
        <v>425</v>
      </c>
    </row>
    <row r="9" spans="1:53" ht="12.75" hidden="1" customHeight="1" x14ac:dyDescent="0.2">
      <c r="A9" s="406"/>
      <c r="B9" s="1531"/>
      <c r="C9" s="1531"/>
      <c r="D9" s="1531"/>
      <c r="E9" s="1531"/>
      <c r="F9" s="1531"/>
      <c r="G9" s="1531"/>
      <c r="H9" s="1531"/>
      <c r="I9" s="1531"/>
      <c r="J9" s="800"/>
      <c r="K9" s="800"/>
      <c r="L9" s="1532"/>
      <c r="M9" s="1532"/>
      <c r="N9" s="1532"/>
      <c r="O9" s="1532"/>
      <c r="P9" s="1532"/>
      <c r="Q9" s="1532"/>
      <c r="R9" s="1532"/>
      <c r="S9" s="1532"/>
      <c r="T9" s="407"/>
      <c r="U9" s="343"/>
      <c r="W9" s="406"/>
      <c r="X9" s="1531"/>
      <c r="Y9" s="1531"/>
      <c r="Z9" s="1531"/>
      <c r="AA9" s="1531"/>
      <c r="AB9" s="1531"/>
      <c r="AC9" s="1531"/>
      <c r="AD9" s="1531"/>
      <c r="AE9" s="1531"/>
      <c r="AF9" s="1211"/>
      <c r="AG9" s="1211"/>
      <c r="AH9" s="1532"/>
      <c r="AI9" s="1532"/>
      <c r="AJ9" s="1532"/>
      <c r="AK9" s="1532"/>
      <c r="AL9" s="1532"/>
      <c r="AM9" s="1532"/>
      <c r="AN9" s="1532"/>
      <c r="AO9" s="1532"/>
      <c r="AP9" s="407"/>
      <c r="AQ9" s="813"/>
    </row>
    <row r="10" spans="1:53" ht="26.25" thickBot="1" x14ac:dyDescent="0.25">
      <c r="A10" s="408" t="s">
        <v>3</v>
      </c>
      <c r="B10" s="409" t="s">
        <v>2</v>
      </c>
      <c r="C10" s="410" t="s">
        <v>50</v>
      </c>
      <c r="D10" s="410" t="s">
        <v>0</v>
      </c>
      <c r="E10" s="410" t="s">
        <v>51</v>
      </c>
      <c r="F10" s="410" t="s">
        <v>5</v>
      </c>
      <c r="G10" s="410" t="s">
        <v>52</v>
      </c>
      <c r="H10" s="410" t="s">
        <v>1</v>
      </c>
      <c r="I10" s="410" t="s">
        <v>6</v>
      </c>
      <c r="J10" s="410" t="s">
        <v>207</v>
      </c>
      <c r="K10" s="412" t="str">
        <f>A10</f>
        <v>Year</v>
      </c>
      <c r="L10" s="413" t="s">
        <v>2</v>
      </c>
      <c r="M10" s="413" t="s">
        <v>50</v>
      </c>
      <c r="N10" s="413" t="s">
        <v>0</v>
      </c>
      <c r="O10" s="413" t="s">
        <v>51</v>
      </c>
      <c r="P10" s="413" t="s">
        <v>5</v>
      </c>
      <c r="Q10" s="413" t="s">
        <v>52</v>
      </c>
      <c r="R10" s="413" t="s">
        <v>1</v>
      </c>
      <c r="S10" s="413" t="s">
        <v>6</v>
      </c>
      <c r="T10" s="414" t="s">
        <v>207</v>
      </c>
      <c r="U10" s="1338" t="s">
        <v>412</v>
      </c>
      <c r="W10" s="408" t="s">
        <v>3</v>
      </c>
      <c r="X10" s="409" t="s">
        <v>2</v>
      </c>
      <c r="Y10" s="410" t="s">
        <v>50</v>
      </c>
      <c r="Z10" s="410" t="s">
        <v>0</v>
      </c>
      <c r="AA10" s="410" t="s">
        <v>51</v>
      </c>
      <c r="AB10" s="410" t="s">
        <v>5</v>
      </c>
      <c r="AC10" s="410" t="s">
        <v>52</v>
      </c>
      <c r="AD10" s="410" t="s">
        <v>1</v>
      </c>
      <c r="AE10" s="410" t="s">
        <v>6</v>
      </c>
      <c r="AF10" s="410" t="s">
        <v>207</v>
      </c>
      <c r="AG10" s="412" t="str">
        <f>W10</f>
        <v>Year</v>
      </c>
      <c r="AH10" s="413" t="s">
        <v>2</v>
      </c>
      <c r="AI10" s="413" t="s">
        <v>50</v>
      </c>
      <c r="AJ10" s="413" t="s">
        <v>0</v>
      </c>
      <c r="AK10" s="413" t="s">
        <v>51</v>
      </c>
      <c r="AL10" s="413" t="s">
        <v>5</v>
      </c>
      <c r="AM10" s="413" t="s">
        <v>52</v>
      </c>
      <c r="AN10" s="413" t="s">
        <v>1</v>
      </c>
      <c r="AO10" s="413" t="s">
        <v>6</v>
      </c>
      <c r="AP10" s="414" t="s">
        <v>207</v>
      </c>
      <c r="AQ10" s="813"/>
      <c r="AR10" s="1214" t="s">
        <v>447</v>
      </c>
      <c r="AS10" s="1214"/>
      <c r="AU10" s="1214" t="s">
        <v>421</v>
      </c>
      <c r="AV10" s="3" t="s">
        <v>0</v>
      </c>
      <c r="AW10" s="3" t="s">
        <v>5</v>
      </c>
      <c r="AX10" s="3" t="s">
        <v>0</v>
      </c>
      <c r="AY10" s="3" t="s">
        <v>5</v>
      </c>
      <c r="AZ10" s="3" t="s">
        <v>0</v>
      </c>
      <c r="BA10" s="3" t="s">
        <v>5</v>
      </c>
    </row>
    <row r="11" spans="1:53" ht="13.5" thickBot="1" x14ac:dyDescent="0.25">
      <c r="A11" s="804">
        <v>2007</v>
      </c>
      <c r="B11" s="1215">
        <v>23.831382999999999</v>
      </c>
      <c r="C11" s="1215">
        <v>27.431152000000001</v>
      </c>
      <c r="D11" s="805">
        <f>AZ11</f>
        <v>19.139039844907355</v>
      </c>
      <c r="E11" s="1215">
        <v>15.767529</v>
      </c>
      <c r="F11" s="805">
        <f>BA11</f>
        <v>16.870047225373874</v>
      </c>
      <c r="G11" s="1215">
        <v>9.1869709999999998</v>
      </c>
      <c r="H11" s="1215">
        <v>13.840966</v>
      </c>
      <c r="I11" s="1215">
        <v>32.004199999999997</v>
      </c>
      <c r="J11" s="1153">
        <f t="shared" ref="J11:J54" si="0">K62/$M$2*10^6</f>
        <v>89.418777943368113</v>
      </c>
      <c r="K11" s="393">
        <f t="shared" ref="K11:K15" si="1">A11</f>
        <v>2007</v>
      </c>
      <c r="L11" s="394">
        <f t="shared" ref="L11:L54" si="2">B11*HVDiesel/10^6</f>
        <v>3.3054128221000001</v>
      </c>
      <c r="M11" s="394">
        <f t="shared" ref="M11:M54" si="3">C11*HVDiesel/10^6</f>
        <v>3.8047007823999999</v>
      </c>
      <c r="N11" s="394">
        <f t="shared" ref="N11:N54" si="4">D11*HVDiesel/10^6</f>
        <v>2.6545848264886498</v>
      </c>
      <c r="O11" s="394">
        <f t="shared" ref="O11:O54" si="5">E11*HVDiesel/10^6</f>
        <v>2.1869562722999998</v>
      </c>
      <c r="P11" s="394">
        <f t="shared" ref="P11:P54" si="6">F11*HVDiesel/10^6</f>
        <v>2.339875550159356</v>
      </c>
      <c r="Q11" s="394">
        <f t="shared" ref="Q11:Q54" si="7">G11*HVDiesel/10^6</f>
        <v>1.2742328777</v>
      </c>
      <c r="R11" s="394">
        <f t="shared" ref="R11:R54" si="8">H11*HVDiesel/10^6</f>
        <v>1.9197419842000001</v>
      </c>
      <c r="S11" s="394">
        <f t="shared" ref="S11:S54" si="9">IF($U$7,U11,1)*I11*HVDiesel/10^6</f>
        <v>8.877965080000001</v>
      </c>
      <c r="T11" s="395">
        <f t="shared" ref="T11:T54" si="10">J11*HVDiesel/10^6</f>
        <v>12.402384500745157</v>
      </c>
      <c r="U11" s="1217">
        <f t="shared" ref="U11:U23" si="11">U12</f>
        <v>2</v>
      </c>
      <c r="W11" s="403">
        <v>2007</v>
      </c>
      <c r="X11" s="415">
        <f t="shared" ref="X11:X58" si="12">$X$6*B11</f>
        <v>18.665139132867136</v>
      </c>
      <c r="Y11" s="415">
        <f t="shared" ref="Y11:Y58" si="13">$Y$6*C11</f>
        <v>29.176770763636359</v>
      </c>
      <c r="Z11" s="415">
        <f t="shared" ref="Z11:Z58" si="14">$Z$6*D11</f>
        <v>18.255302290215983</v>
      </c>
      <c r="AA11" s="415">
        <f>$AA$6*E11</f>
        <v>15.767529</v>
      </c>
      <c r="AB11" s="415">
        <f t="shared" ref="AB11:AB58" si="15">$AB$6*F11</f>
        <v>16.106548415865408</v>
      </c>
      <c r="AC11" s="415">
        <f>$AC$6*G11</f>
        <v>9.1869709999999998</v>
      </c>
      <c r="AD11" s="415">
        <f t="shared" ref="AD11:AD54" si="16">$AD$6*H11</f>
        <v>11.9789526367713</v>
      </c>
      <c r="AE11" s="415">
        <f>$AE$6*I11</f>
        <v>32.004199999999997</v>
      </c>
      <c r="AF11" s="499">
        <f t="shared" ref="AF11:AF54" si="17">AG62/$M$2*10^6</f>
        <v>89.418777943368113</v>
      </c>
      <c r="AG11" s="393">
        <f t="shared" ref="AG11:AG15" si="18">W11</f>
        <v>2007</v>
      </c>
      <c r="AH11" s="394">
        <f t="shared" ref="AH11:AH54" si="19">X11*HVDiesel/10^6</f>
        <v>2.5888547977286716</v>
      </c>
      <c r="AI11" s="394">
        <f t="shared" ref="AI11:AI54" si="20">Y11*HVDiesel/10^6</f>
        <v>4.0468181049163627</v>
      </c>
      <c r="AJ11" s="394">
        <f t="shared" ref="AJ11:AJ54" si="21">Z11*HVDiesel/10^6</f>
        <v>2.5320104276529567</v>
      </c>
      <c r="AK11" s="394">
        <f t="shared" ref="AK11:AK54" si="22">AA11*HVDiesel/10^6</f>
        <v>2.1869562722999998</v>
      </c>
      <c r="AL11" s="394">
        <f t="shared" ref="AL11:AL54" si="23">AB11*HVDiesel/10^6</f>
        <v>2.2339782652805322</v>
      </c>
      <c r="AM11" s="394">
        <f t="shared" ref="AM11:AM54" si="24">AC11*HVDiesel/10^6</f>
        <v>1.2742328777</v>
      </c>
      <c r="AN11" s="394">
        <f t="shared" ref="AN11:AN54" si="25">AD11*HVDiesel/10^6</f>
        <v>1.6614807307201793</v>
      </c>
      <c r="AO11" s="394">
        <f t="shared" ref="AO11:AO54" si="26">IF($U$7,U11,1)*AE11*HVDiesel/10^6</f>
        <v>8.877965080000001</v>
      </c>
      <c r="AP11" s="395">
        <f t="shared" ref="AP11:AP54" si="27">AF11*HVDiesel/10^6</f>
        <v>12.402384500745157</v>
      </c>
      <c r="AQ11" s="10"/>
      <c r="AR11" s="1" t="s">
        <v>210</v>
      </c>
      <c r="AS11" s="1"/>
      <c r="AT11" s="3">
        <v>2007</v>
      </c>
      <c r="AU11" s="3">
        <v>5.3440000000000003</v>
      </c>
      <c r="AV11" s="3">
        <v>2.8488790800000006</v>
      </c>
      <c r="AW11" s="3">
        <v>2.8849999999999998</v>
      </c>
      <c r="AX11" s="3">
        <f t="shared" ref="AX11:AX23" si="28">AV11*(HVDiesel/HVGasoline)*$AU11/$AU$23</f>
        <v>2.6545848264886494</v>
      </c>
      <c r="AY11" s="3">
        <f>AW11*$AU11/$AU$23</f>
        <v>2.3398755501593564</v>
      </c>
      <c r="AZ11" s="3">
        <f t="shared" ref="AZ11:AZ23" si="29">(AV11/HVGasoline)*($AU11/$AU$23)*10^6</f>
        <v>19.139039844907355</v>
      </c>
      <c r="BA11" s="3">
        <f t="shared" ref="BA11:BA23" si="30">(AW11/HVDiesel)*($AU11/$AU$23)*10^6</f>
        <v>16.870047225373874</v>
      </c>
    </row>
    <row r="12" spans="1:53" ht="13.5" thickTop="1" x14ac:dyDescent="0.2">
      <c r="A12" s="334">
        <v>2008</v>
      </c>
      <c r="B12" s="1193">
        <v>28.925077000000002</v>
      </c>
      <c r="C12" s="1193">
        <v>33.544201000000001</v>
      </c>
      <c r="D12" s="416">
        <f t="shared" ref="D12:D22" si="31">AZ12</f>
        <v>23.14446391167051</v>
      </c>
      <c r="E12" s="1193">
        <v>24.678422999999999</v>
      </c>
      <c r="F12" s="416">
        <f t="shared" ref="F12:F22" si="32">BA12</f>
        <v>23.0911244330991</v>
      </c>
      <c r="G12" s="1193">
        <v>15.781518</v>
      </c>
      <c r="H12" s="1193">
        <v>20.719681000000001</v>
      </c>
      <c r="I12" s="1193">
        <v>41.567065999999997</v>
      </c>
      <c r="J12" s="1154">
        <f t="shared" si="0"/>
        <v>89.418777943368113</v>
      </c>
      <c r="K12" s="396">
        <f t="shared" si="1"/>
        <v>2008</v>
      </c>
      <c r="L12" s="391">
        <f t="shared" si="2"/>
        <v>4.0119081799000007</v>
      </c>
      <c r="M12" s="391">
        <f t="shared" si="3"/>
        <v>4.6525806786999997</v>
      </c>
      <c r="N12" s="391">
        <f t="shared" si="4"/>
        <v>3.2101371445486997</v>
      </c>
      <c r="O12" s="391">
        <f t="shared" si="5"/>
        <v>3.4228972701</v>
      </c>
      <c r="P12" s="391">
        <f t="shared" si="6"/>
        <v>3.2027389588708455</v>
      </c>
      <c r="Q12" s="391">
        <f t="shared" si="7"/>
        <v>2.1888965466000001</v>
      </c>
      <c r="R12" s="391">
        <f t="shared" si="8"/>
        <v>2.8738197547000004</v>
      </c>
      <c r="S12" s="391">
        <f t="shared" si="9"/>
        <v>11.530704108399998</v>
      </c>
      <c r="T12" s="397">
        <f t="shared" si="10"/>
        <v>12.402384500745157</v>
      </c>
      <c r="U12" s="1217">
        <f t="shared" si="11"/>
        <v>2</v>
      </c>
      <c r="W12" s="334">
        <v>2008</v>
      </c>
      <c r="X12" s="416">
        <f t="shared" si="12"/>
        <v>22.654605762237768</v>
      </c>
      <c r="Y12" s="416">
        <f t="shared" si="13"/>
        <v>35.678831972727266</v>
      </c>
      <c r="Z12" s="416">
        <f t="shared" si="14"/>
        <v>22.075777493350273</v>
      </c>
      <c r="AA12" s="416">
        <f t="shared" ref="AA12:AA54" si="33">$AA$6*E12</f>
        <v>24.678422999999999</v>
      </c>
      <c r="AB12" s="416">
        <f t="shared" si="15"/>
        <v>22.046074245665956</v>
      </c>
      <c r="AC12" s="416">
        <f t="shared" ref="AC12:AC54" si="34">$AC$6*G12</f>
        <v>15.781518</v>
      </c>
      <c r="AD12" s="416">
        <f t="shared" si="16"/>
        <v>17.932279968609866</v>
      </c>
      <c r="AE12" s="416">
        <f t="shared" ref="AE12:AE54" si="35">$AE$6*I12</f>
        <v>41.567065999999997</v>
      </c>
      <c r="AF12" s="499">
        <f t="shared" si="17"/>
        <v>89.418777943368113</v>
      </c>
      <c r="AG12" s="396">
        <f t="shared" si="18"/>
        <v>2008</v>
      </c>
      <c r="AH12" s="391">
        <f t="shared" si="19"/>
        <v>3.1421938192223786</v>
      </c>
      <c r="AI12" s="391">
        <f t="shared" si="20"/>
        <v>4.9486539946172723</v>
      </c>
      <c r="AJ12" s="391">
        <f t="shared" si="21"/>
        <v>3.0619103383276829</v>
      </c>
      <c r="AK12" s="391">
        <f t="shared" si="22"/>
        <v>3.4228972701</v>
      </c>
      <c r="AL12" s="391">
        <f t="shared" si="23"/>
        <v>3.0577904978738677</v>
      </c>
      <c r="AM12" s="391">
        <f t="shared" si="24"/>
        <v>2.1888965466000001</v>
      </c>
      <c r="AN12" s="391">
        <f t="shared" si="25"/>
        <v>2.4872072316461886</v>
      </c>
      <c r="AO12" s="391">
        <f t="shared" si="26"/>
        <v>11.530704108399998</v>
      </c>
      <c r="AP12" s="397">
        <f t="shared" si="27"/>
        <v>12.402384500745157</v>
      </c>
      <c r="AQ12" s="10"/>
      <c r="AR12" s="809" t="str">
        <f t="array" ref="AR12:AR20">TRANSPOSE(AH10:AP10)</f>
        <v>LPG</v>
      </c>
      <c r="AS12" s="10"/>
      <c r="AT12" s="3">
        <v>2008</v>
      </c>
      <c r="AU12" s="3">
        <v>5.5490000000000004</v>
      </c>
      <c r="AV12" s="3">
        <v>3.31781923</v>
      </c>
      <c r="AW12" s="3">
        <v>3.8029999999999999</v>
      </c>
      <c r="AX12" s="3">
        <f t="shared" si="28"/>
        <v>3.2101371445486993</v>
      </c>
      <c r="AY12" s="3">
        <f t="shared" ref="AY12:AY23" si="36">AW12*$AU12/$AU$23</f>
        <v>3.202738958870845</v>
      </c>
      <c r="AZ12" s="3">
        <f t="shared" si="29"/>
        <v>23.14446391167051</v>
      </c>
      <c r="BA12" s="3">
        <f t="shared" si="30"/>
        <v>23.0911244330991</v>
      </c>
    </row>
    <row r="13" spans="1:53" x14ac:dyDescent="0.2">
      <c r="A13" s="334">
        <v>2009</v>
      </c>
      <c r="B13" s="1193">
        <v>27.142980999999999</v>
      </c>
      <c r="C13" s="1193">
        <v>22.027393</v>
      </c>
      <c r="D13" s="416">
        <f t="shared" si="31"/>
        <v>16.686242881839721</v>
      </c>
      <c r="E13" s="1193">
        <v>13.673363</v>
      </c>
      <c r="F13" s="416">
        <f t="shared" si="32"/>
        <v>14.925186643575737</v>
      </c>
      <c r="G13" s="1193">
        <v>11.342912999999999</v>
      </c>
      <c r="H13" s="1193">
        <v>16.473005000000001</v>
      </c>
      <c r="I13" s="1193">
        <v>62.290424000000002</v>
      </c>
      <c r="J13" s="1154">
        <f t="shared" si="0"/>
        <v>89.418777943368113</v>
      </c>
      <c r="K13" s="396">
        <f t="shared" si="1"/>
        <v>2009</v>
      </c>
      <c r="L13" s="391">
        <f t="shared" si="2"/>
        <v>3.7647314647000001</v>
      </c>
      <c r="M13" s="391">
        <f t="shared" si="3"/>
        <v>3.0551994090999997</v>
      </c>
      <c r="N13" s="391">
        <f t="shared" si="4"/>
        <v>2.314381887711169</v>
      </c>
      <c r="O13" s="391">
        <f t="shared" si="5"/>
        <v>1.8964954480999998</v>
      </c>
      <c r="P13" s="391">
        <f t="shared" si="6"/>
        <v>2.0701233874639549</v>
      </c>
      <c r="Q13" s="391">
        <f t="shared" si="7"/>
        <v>1.5732620330999998</v>
      </c>
      <c r="R13" s="391">
        <f t="shared" si="8"/>
        <v>2.2848057935000003</v>
      </c>
      <c r="S13" s="391">
        <f t="shared" si="9"/>
        <v>17.279363617600001</v>
      </c>
      <c r="T13" s="397">
        <f t="shared" si="10"/>
        <v>12.402384500745157</v>
      </c>
      <c r="U13" s="1217">
        <f t="shared" si="11"/>
        <v>2</v>
      </c>
      <c r="W13" s="334">
        <v>2009</v>
      </c>
      <c r="X13" s="416">
        <f t="shared" si="12"/>
        <v>21.258838265734269</v>
      </c>
      <c r="Y13" s="416">
        <f t="shared" si="13"/>
        <v>23.429136190909087</v>
      </c>
      <c r="Z13" s="416">
        <f t="shared" si="14"/>
        <v>15.915762251626335</v>
      </c>
      <c r="AA13" s="416">
        <f t="shared" si="33"/>
        <v>13.673363</v>
      </c>
      <c r="AB13" s="416">
        <f t="shared" si="15"/>
        <v>14.249707667030716</v>
      </c>
      <c r="AC13" s="416">
        <f t="shared" si="34"/>
        <v>11.342912999999999</v>
      </c>
      <c r="AD13" s="416">
        <f t="shared" si="16"/>
        <v>14.25690567264574</v>
      </c>
      <c r="AE13" s="416">
        <f t="shared" si="35"/>
        <v>62.290424000000002</v>
      </c>
      <c r="AF13" s="499">
        <f t="shared" si="17"/>
        <v>89.418777943368113</v>
      </c>
      <c r="AG13" s="396">
        <f t="shared" si="18"/>
        <v>2009</v>
      </c>
      <c r="AH13" s="391">
        <f t="shared" si="19"/>
        <v>2.9486008674573432</v>
      </c>
      <c r="AI13" s="391">
        <f t="shared" si="20"/>
        <v>3.2496211896790905</v>
      </c>
      <c r="AJ13" s="391">
        <f t="shared" si="21"/>
        <v>2.2075162243005728</v>
      </c>
      <c r="AK13" s="391">
        <f t="shared" si="22"/>
        <v>1.8964954480999998</v>
      </c>
      <c r="AL13" s="391">
        <f t="shared" si="23"/>
        <v>1.9764344534171603</v>
      </c>
      <c r="AM13" s="391">
        <f t="shared" si="24"/>
        <v>1.5732620330999998</v>
      </c>
      <c r="AN13" s="391">
        <f t="shared" si="25"/>
        <v>1.9774328167959641</v>
      </c>
      <c r="AO13" s="391">
        <f t="shared" si="26"/>
        <v>17.279363617600001</v>
      </c>
      <c r="AP13" s="397">
        <f t="shared" si="27"/>
        <v>12.402384500745157</v>
      </c>
      <c r="AQ13" s="10"/>
      <c r="AR13" s="810" t="str">
        <v>E85</v>
      </c>
      <c r="AS13" s="10"/>
      <c r="AT13" s="3">
        <v>2009</v>
      </c>
      <c r="AU13" s="3">
        <v>5.5289999999999999</v>
      </c>
      <c r="AV13" s="3">
        <v>2.40066903</v>
      </c>
      <c r="AW13" s="3">
        <v>2.4670000000000001</v>
      </c>
      <c r="AX13" s="3">
        <f t="shared" si="28"/>
        <v>2.314381887711169</v>
      </c>
      <c r="AY13" s="3">
        <f t="shared" si="36"/>
        <v>2.0701233874639549</v>
      </c>
      <c r="AZ13" s="3">
        <f t="shared" si="29"/>
        <v>16.686242881839721</v>
      </c>
      <c r="BA13" s="3">
        <f t="shared" si="30"/>
        <v>14.925186643575737</v>
      </c>
    </row>
    <row r="14" spans="1:53" x14ac:dyDescent="0.2">
      <c r="A14" s="335">
        <v>2010</v>
      </c>
      <c r="B14" s="1193">
        <v>26.497553</v>
      </c>
      <c r="C14" s="1193">
        <v>26.790133000000001</v>
      </c>
      <c r="D14" s="416">
        <f t="shared" si="31"/>
        <v>20.042935750421385</v>
      </c>
      <c r="E14" s="1193">
        <v>17.441685</v>
      </c>
      <c r="F14" s="416">
        <f t="shared" si="32"/>
        <v>18.399326924350003</v>
      </c>
      <c r="G14" s="1193">
        <v>11.209270999999999</v>
      </c>
      <c r="H14" s="1193">
        <v>17.178132999999999</v>
      </c>
      <c r="I14" s="1193">
        <v>44.797077000000002</v>
      </c>
      <c r="J14" s="1154">
        <f t="shared" si="0"/>
        <v>89.418777943368113</v>
      </c>
      <c r="K14" s="398">
        <f t="shared" si="1"/>
        <v>2010</v>
      </c>
      <c r="L14" s="392">
        <f t="shared" si="2"/>
        <v>3.6752106011000003</v>
      </c>
      <c r="M14" s="392">
        <f t="shared" si="3"/>
        <v>3.7157914471</v>
      </c>
      <c r="N14" s="392">
        <f t="shared" si="4"/>
        <v>2.7799551885834464</v>
      </c>
      <c r="O14" s="392">
        <f t="shared" si="5"/>
        <v>2.4191617095</v>
      </c>
      <c r="P14" s="392">
        <f t="shared" si="6"/>
        <v>2.5519866444073456</v>
      </c>
      <c r="Q14" s="392">
        <f t="shared" si="7"/>
        <v>1.5547258876999999</v>
      </c>
      <c r="R14" s="392">
        <f t="shared" si="8"/>
        <v>2.3826070471</v>
      </c>
      <c r="S14" s="392">
        <f t="shared" si="9"/>
        <v>12.4267091598</v>
      </c>
      <c r="T14" s="399">
        <f t="shared" si="10"/>
        <v>12.402384500745157</v>
      </c>
      <c r="U14" s="1217">
        <f t="shared" si="11"/>
        <v>2</v>
      </c>
      <c r="W14" s="335">
        <v>2010</v>
      </c>
      <c r="X14" s="416">
        <f t="shared" si="12"/>
        <v>20.753328223776226</v>
      </c>
      <c r="Y14" s="416">
        <f t="shared" si="13"/>
        <v>28.494959645454543</v>
      </c>
      <c r="Z14" s="416">
        <f t="shared" si="14"/>
        <v>19.117461161703876</v>
      </c>
      <c r="AA14" s="416">
        <f t="shared" si="33"/>
        <v>17.441685</v>
      </c>
      <c r="AB14" s="416">
        <f t="shared" si="15"/>
        <v>17.566616498894337</v>
      </c>
      <c r="AC14" s="416">
        <f t="shared" si="34"/>
        <v>11.209270999999999</v>
      </c>
      <c r="AD14" s="416">
        <f t="shared" si="16"/>
        <v>14.867173403587442</v>
      </c>
      <c r="AE14" s="416">
        <f t="shared" si="35"/>
        <v>44.797077000000002</v>
      </c>
      <c r="AF14" s="499">
        <f t="shared" si="17"/>
        <v>89.418777943368113</v>
      </c>
      <c r="AG14" s="398">
        <f t="shared" si="18"/>
        <v>2010</v>
      </c>
      <c r="AH14" s="392">
        <f t="shared" si="19"/>
        <v>2.8784866246377625</v>
      </c>
      <c r="AI14" s="392">
        <f t="shared" si="20"/>
        <v>3.9522509028245452</v>
      </c>
      <c r="AJ14" s="392">
        <f t="shared" si="21"/>
        <v>2.6515918631283277</v>
      </c>
      <c r="AK14" s="392">
        <f t="shared" si="22"/>
        <v>2.4191617095</v>
      </c>
      <c r="AL14" s="392">
        <f t="shared" si="23"/>
        <v>2.4364897083966448</v>
      </c>
      <c r="AM14" s="392">
        <f t="shared" si="24"/>
        <v>1.5547258876999999</v>
      </c>
      <c r="AN14" s="392">
        <f t="shared" si="25"/>
        <v>2.0620769510775783</v>
      </c>
      <c r="AO14" s="392">
        <f t="shared" si="26"/>
        <v>12.4267091598</v>
      </c>
      <c r="AP14" s="399">
        <f t="shared" si="27"/>
        <v>12.402384500745157</v>
      </c>
      <c r="AQ14" s="10"/>
      <c r="AR14" s="810" t="str">
        <v>Gasoline</v>
      </c>
      <c r="AS14" s="10"/>
      <c r="AT14" s="3">
        <v>2010</v>
      </c>
      <c r="AU14" s="3">
        <v>5.62</v>
      </c>
      <c r="AV14" s="3">
        <v>2.8369085599999999</v>
      </c>
      <c r="AW14" s="3">
        <v>2.992</v>
      </c>
      <c r="AX14" s="3">
        <f t="shared" si="28"/>
        <v>2.7799551885834464</v>
      </c>
      <c r="AY14" s="3">
        <f t="shared" si="36"/>
        <v>2.5519866444073456</v>
      </c>
      <c r="AZ14" s="3">
        <f t="shared" si="29"/>
        <v>20.042935750421385</v>
      </c>
      <c r="BA14" s="3">
        <f t="shared" si="30"/>
        <v>18.399326924350003</v>
      </c>
    </row>
    <row r="15" spans="1:53" x14ac:dyDescent="0.2">
      <c r="A15" s="336">
        <v>2011</v>
      </c>
      <c r="B15" s="1193">
        <v>27.153307000000002</v>
      </c>
      <c r="C15" s="1193">
        <v>34.314692999999998</v>
      </c>
      <c r="D15" s="416">
        <f t="shared" si="31"/>
        <v>26.064227985794453</v>
      </c>
      <c r="E15" s="1193">
        <v>23.669519000000001</v>
      </c>
      <c r="F15" s="416">
        <f t="shared" si="32"/>
        <v>24.357827814441997</v>
      </c>
      <c r="G15" s="1193">
        <v>18.559363999999999</v>
      </c>
      <c r="H15" s="1193">
        <v>17.058402999999998</v>
      </c>
      <c r="I15" s="1193">
        <v>35.388840000000002</v>
      </c>
      <c r="J15" s="1154">
        <f t="shared" si="0"/>
        <v>89.418777943368113</v>
      </c>
      <c r="K15" s="396">
        <f t="shared" si="1"/>
        <v>2011</v>
      </c>
      <c r="L15" s="391">
        <f t="shared" si="2"/>
        <v>3.7661636809000001</v>
      </c>
      <c r="M15" s="391">
        <f t="shared" si="3"/>
        <v>4.7594479190999994</v>
      </c>
      <c r="N15" s="391">
        <f t="shared" si="4"/>
        <v>3.6151084216296905</v>
      </c>
      <c r="O15" s="391">
        <f t="shared" si="5"/>
        <v>3.2829622853</v>
      </c>
      <c r="P15" s="391">
        <f t="shared" si="6"/>
        <v>3.3784307178631048</v>
      </c>
      <c r="Q15" s="391">
        <f t="shared" si="7"/>
        <v>2.5741837867999999</v>
      </c>
      <c r="R15" s="391">
        <f t="shared" si="8"/>
        <v>2.3660004960999999</v>
      </c>
      <c r="S15" s="391">
        <f t="shared" si="9"/>
        <v>9.8168642160000008</v>
      </c>
      <c r="T15" s="397">
        <f t="shared" si="10"/>
        <v>12.402384500745157</v>
      </c>
      <c r="U15" s="1217">
        <f t="shared" si="11"/>
        <v>2</v>
      </c>
      <c r="W15" s="336">
        <v>2011</v>
      </c>
      <c r="X15" s="416">
        <f t="shared" si="12"/>
        <v>21.266925762237769</v>
      </c>
      <c r="Y15" s="416">
        <f t="shared" si="13"/>
        <v>36.498355281818178</v>
      </c>
      <c r="Z15" s="416">
        <f t="shared" si="14"/>
        <v>24.860722622320672</v>
      </c>
      <c r="AA15" s="416">
        <f t="shared" si="33"/>
        <v>23.669519000000001</v>
      </c>
      <c r="AB15" s="416">
        <f t="shared" si="15"/>
        <v>23.255449599959761</v>
      </c>
      <c r="AC15" s="416">
        <f t="shared" si="34"/>
        <v>18.559363999999999</v>
      </c>
      <c r="AD15" s="416">
        <f t="shared" si="16"/>
        <v>14.763550578475334</v>
      </c>
      <c r="AE15" s="416">
        <f t="shared" si="35"/>
        <v>35.388840000000002</v>
      </c>
      <c r="AF15" s="499">
        <f t="shared" si="17"/>
        <v>89.418777943368113</v>
      </c>
      <c r="AG15" s="396">
        <f t="shared" si="18"/>
        <v>2011</v>
      </c>
      <c r="AH15" s="391">
        <f t="shared" si="19"/>
        <v>2.9497226032223787</v>
      </c>
      <c r="AI15" s="391">
        <f t="shared" si="20"/>
        <v>5.0623218775881806</v>
      </c>
      <c r="AJ15" s="391">
        <f t="shared" si="21"/>
        <v>3.4481822277158773</v>
      </c>
      <c r="AK15" s="391">
        <f t="shared" si="22"/>
        <v>3.2829622853</v>
      </c>
      <c r="AL15" s="391">
        <f t="shared" si="23"/>
        <v>3.2255308595144192</v>
      </c>
      <c r="AM15" s="391">
        <f t="shared" si="24"/>
        <v>2.5741837867999999</v>
      </c>
      <c r="AN15" s="391">
        <f t="shared" si="25"/>
        <v>2.0477044652345286</v>
      </c>
      <c r="AO15" s="391">
        <f t="shared" si="26"/>
        <v>9.8168642160000008</v>
      </c>
      <c r="AP15" s="397">
        <f t="shared" si="27"/>
        <v>12.402384500745157</v>
      </c>
      <c r="AQ15" s="10"/>
      <c r="AR15" s="810" t="str">
        <v>Jet Fuel</v>
      </c>
      <c r="AS15" s="10"/>
      <c r="AT15" s="3">
        <v>2011</v>
      </c>
      <c r="AU15" s="3">
        <v>5.7969999999999997</v>
      </c>
      <c r="AV15" s="3">
        <v>3.5765300999999998</v>
      </c>
      <c r="AW15" s="3">
        <v>3.84</v>
      </c>
      <c r="AX15" s="3">
        <f t="shared" si="28"/>
        <v>3.61510842162969</v>
      </c>
      <c r="AY15" s="3">
        <f t="shared" si="36"/>
        <v>3.3784307178631048</v>
      </c>
      <c r="AZ15" s="3">
        <f t="shared" si="29"/>
        <v>26.064227985794453</v>
      </c>
      <c r="BA15" s="3">
        <f t="shared" si="30"/>
        <v>24.357827814441997</v>
      </c>
    </row>
    <row r="16" spans="1:53" x14ac:dyDescent="0.2">
      <c r="A16" s="806">
        <v>2012</v>
      </c>
      <c r="B16" s="1213">
        <v>26.060852000000001</v>
      </c>
      <c r="C16" s="1213">
        <v>36.734264000000003</v>
      </c>
      <c r="D16" s="417">
        <f t="shared" si="31"/>
        <v>27.478804154101759</v>
      </c>
      <c r="E16" s="1213">
        <v>23.645123000000002</v>
      </c>
      <c r="F16" s="417">
        <f t="shared" si="32"/>
        <v>25.690778463111101</v>
      </c>
      <c r="G16" s="1213">
        <v>20.590979000000001</v>
      </c>
      <c r="H16" s="1213">
        <v>17.207750000000001</v>
      </c>
      <c r="I16" s="1213">
        <v>30.248889999999999</v>
      </c>
      <c r="J16" s="1154">
        <f t="shared" si="0"/>
        <v>89.418777943368113</v>
      </c>
      <c r="K16" s="396">
        <v>2012</v>
      </c>
      <c r="L16" s="391">
        <f t="shared" si="2"/>
        <v>3.6146401724000001</v>
      </c>
      <c r="M16" s="391">
        <f t="shared" si="3"/>
        <v>5.095042416800001</v>
      </c>
      <c r="N16" s="391">
        <f t="shared" si="4"/>
        <v>3.8113101361739141</v>
      </c>
      <c r="O16" s="391">
        <f t="shared" si="5"/>
        <v>3.2795785601000005</v>
      </c>
      <c r="P16" s="391">
        <f t="shared" si="6"/>
        <v>3.5633109728335097</v>
      </c>
      <c r="Q16" s="391">
        <f t="shared" si="7"/>
        <v>2.8559687873000001</v>
      </c>
      <c r="R16" s="391">
        <f t="shared" si="8"/>
        <v>2.3867149250000002</v>
      </c>
      <c r="S16" s="391">
        <f t="shared" si="9"/>
        <v>8.3910420859999988</v>
      </c>
      <c r="T16" s="397">
        <f t="shared" si="10"/>
        <v>12.402384500745157</v>
      </c>
      <c r="U16" s="1217">
        <f t="shared" si="11"/>
        <v>2</v>
      </c>
      <c r="W16" s="806">
        <v>2012</v>
      </c>
      <c r="X16" s="417">
        <f t="shared" si="12"/>
        <v>20.411296671328675</v>
      </c>
      <c r="Y16" s="417">
        <f t="shared" si="13"/>
        <v>39.07189898181818</v>
      </c>
      <c r="Z16" s="417">
        <f t="shared" si="14"/>
        <v>26.209981298526241</v>
      </c>
      <c r="AA16" s="417">
        <f t="shared" si="33"/>
        <v>23.645123000000002</v>
      </c>
      <c r="AB16" s="417">
        <f t="shared" si="15"/>
        <v>24.528074025483402</v>
      </c>
      <c r="AC16" s="417">
        <f t="shared" si="34"/>
        <v>20.590979000000001</v>
      </c>
      <c r="AD16" s="417">
        <f t="shared" si="16"/>
        <v>14.892806053811659</v>
      </c>
      <c r="AE16" s="417">
        <f t="shared" si="35"/>
        <v>30.248889999999999</v>
      </c>
      <c r="AF16" s="499">
        <f t="shared" si="17"/>
        <v>89.418777943368113</v>
      </c>
      <c r="AG16" s="396">
        <v>2012</v>
      </c>
      <c r="AH16" s="391">
        <f t="shared" si="19"/>
        <v>2.8310468483132873</v>
      </c>
      <c r="AI16" s="391">
        <f t="shared" si="20"/>
        <v>5.4192723887781815</v>
      </c>
      <c r="AJ16" s="391">
        <f t="shared" si="21"/>
        <v>3.6353244061055894</v>
      </c>
      <c r="AK16" s="391">
        <f t="shared" si="22"/>
        <v>3.2795785601000005</v>
      </c>
      <c r="AL16" s="391">
        <f t="shared" si="23"/>
        <v>3.4020438673345481</v>
      </c>
      <c r="AM16" s="391">
        <f t="shared" si="24"/>
        <v>2.8559687873000001</v>
      </c>
      <c r="AN16" s="391">
        <f t="shared" si="25"/>
        <v>2.0656321996636771</v>
      </c>
      <c r="AO16" s="391">
        <f t="shared" si="26"/>
        <v>8.3910420859999988</v>
      </c>
      <c r="AP16" s="397">
        <f t="shared" si="27"/>
        <v>12.402384500745157</v>
      </c>
      <c r="AQ16" s="10"/>
      <c r="AR16" s="810" t="str">
        <v>Diesel</v>
      </c>
      <c r="AS16" s="10"/>
      <c r="AT16" s="3">
        <v>2012</v>
      </c>
      <c r="AU16" s="3">
        <v>5.9169999999999998</v>
      </c>
      <c r="AV16" s="3">
        <v>3.6941674600000001</v>
      </c>
      <c r="AW16" s="3">
        <v>3.968</v>
      </c>
      <c r="AX16" s="3">
        <f t="shared" si="28"/>
        <v>3.8113101361739137</v>
      </c>
      <c r="AY16" s="3">
        <f t="shared" si="36"/>
        <v>3.5633109728335102</v>
      </c>
      <c r="AZ16" s="3">
        <f t="shared" si="29"/>
        <v>27.478804154101759</v>
      </c>
      <c r="BA16" s="3">
        <f t="shared" si="30"/>
        <v>25.690778463111101</v>
      </c>
    </row>
    <row r="17" spans="1:53" x14ac:dyDescent="0.2">
      <c r="A17" s="806">
        <v>2013</v>
      </c>
      <c r="B17" s="1213">
        <v>25.294118999999998</v>
      </c>
      <c r="C17" s="1213">
        <v>33.997013000000003</v>
      </c>
      <c r="D17" s="417">
        <f t="shared" si="31"/>
        <v>27.042850352976672</v>
      </c>
      <c r="E17" s="1213">
        <v>22.417128000000002</v>
      </c>
      <c r="F17" s="417">
        <f t="shared" si="32"/>
        <v>25.766314550818404</v>
      </c>
      <c r="G17" s="1213">
        <v>19.805682999999998</v>
      </c>
      <c r="H17" s="1213">
        <v>18.155642</v>
      </c>
      <c r="I17" s="1213">
        <v>31.006128</v>
      </c>
      <c r="J17" s="1154">
        <f t="shared" si="0"/>
        <v>89.418777943368113</v>
      </c>
      <c r="K17" s="396">
        <v>2013</v>
      </c>
      <c r="L17" s="391">
        <f t="shared" si="2"/>
        <v>3.5082943052999997</v>
      </c>
      <c r="M17" s="391">
        <f t="shared" si="3"/>
        <v>4.7153857031000008</v>
      </c>
      <c r="N17" s="391">
        <f t="shared" si="4"/>
        <v>3.7508433439578641</v>
      </c>
      <c r="O17" s="391">
        <f t="shared" si="5"/>
        <v>3.1092556536000004</v>
      </c>
      <c r="P17" s="391">
        <f t="shared" si="6"/>
        <v>3.5737878281985127</v>
      </c>
      <c r="Q17" s="391">
        <f t="shared" si="7"/>
        <v>2.7470482320999996</v>
      </c>
      <c r="R17" s="391">
        <f t="shared" si="8"/>
        <v>2.5181875454</v>
      </c>
      <c r="S17" s="391">
        <f t="shared" si="9"/>
        <v>8.6010999072000001</v>
      </c>
      <c r="T17" s="397">
        <f t="shared" si="10"/>
        <v>12.402384500745157</v>
      </c>
      <c r="U17" s="1217">
        <f t="shared" si="11"/>
        <v>2</v>
      </c>
      <c r="W17" s="806">
        <v>2013</v>
      </c>
      <c r="X17" s="417">
        <f t="shared" si="12"/>
        <v>19.810778517482518</v>
      </c>
      <c r="Y17" s="417">
        <f t="shared" si="13"/>
        <v>36.160459281818177</v>
      </c>
      <c r="Z17" s="417">
        <f t="shared" si="14"/>
        <v>25.794157490822283</v>
      </c>
      <c r="AA17" s="417">
        <f t="shared" si="33"/>
        <v>22.417128000000002</v>
      </c>
      <c r="AB17" s="417">
        <f t="shared" si="15"/>
        <v>24.600191526848356</v>
      </c>
      <c r="AC17" s="417">
        <f t="shared" si="34"/>
        <v>19.805682999999998</v>
      </c>
      <c r="AD17" s="417">
        <f t="shared" si="16"/>
        <v>15.713178950672646</v>
      </c>
      <c r="AE17" s="417">
        <f t="shared" si="35"/>
        <v>31.006128</v>
      </c>
      <c r="AF17" s="499">
        <f t="shared" si="17"/>
        <v>89.418777943368113</v>
      </c>
      <c r="AG17" s="396">
        <v>2013</v>
      </c>
      <c r="AH17" s="391">
        <f t="shared" si="19"/>
        <v>2.7477549803748254</v>
      </c>
      <c r="AI17" s="391">
        <f t="shared" si="20"/>
        <v>5.0154557023881816</v>
      </c>
      <c r="AJ17" s="391">
        <f t="shared" si="21"/>
        <v>3.5776496439770509</v>
      </c>
      <c r="AK17" s="391">
        <f t="shared" si="22"/>
        <v>3.1092556536000004</v>
      </c>
      <c r="AL17" s="391">
        <f t="shared" si="23"/>
        <v>3.4120465647738669</v>
      </c>
      <c r="AM17" s="391">
        <f t="shared" si="24"/>
        <v>2.7470482320999996</v>
      </c>
      <c r="AN17" s="391">
        <f t="shared" si="25"/>
        <v>2.1794179204582957</v>
      </c>
      <c r="AO17" s="391">
        <f t="shared" si="26"/>
        <v>8.6010999072000001</v>
      </c>
      <c r="AP17" s="397">
        <f t="shared" si="27"/>
        <v>12.402384500745157</v>
      </c>
      <c r="AQ17" s="10"/>
      <c r="AR17" s="810" t="str">
        <v>Residual Fuel Oil</v>
      </c>
      <c r="AS17" s="10"/>
      <c r="AT17" s="3">
        <v>2013</v>
      </c>
      <c r="AU17" s="3">
        <v>6.0039999999999996</v>
      </c>
      <c r="AV17" s="3">
        <v>3.58287866</v>
      </c>
      <c r="AW17" s="3">
        <v>3.9220000000000002</v>
      </c>
      <c r="AX17" s="3">
        <f t="shared" si="28"/>
        <v>3.7508433439578632</v>
      </c>
      <c r="AY17" s="3">
        <f t="shared" si="36"/>
        <v>3.5737878281985127</v>
      </c>
      <c r="AZ17" s="3">
        <f t="shared" si="29"/>
        <v>27.042850352976672</v>
      </c>
      <c r="BA17" s="3">
        <f t="shared" si="30"/>
        <v>25.766314550818404</v>
      </c>
    </row>
    <row r="18" spans="1:53" x14ac:dyDescent="0.2">
      <c r="A18" s="806">
        <v>2014</v>
      </c>
      <c r="B18" s="1213">
        <v>24.395772999999998</v>
      </c>
      <c r="C18" s="1213">
        <v>33.250518999999997</v>
      </c>
      <c r="D18" s="417">
        <f t="shared" si="31"/>
        <v>26.273234518958141</v>
      </c>
      <c r="E18" s="1213">
        <v>20.819944</v>
      </c>
      <c r="F18" s="417">
        <f t="shared" si="32"/>
        <v>25.535037257590947</v>
      </c>
      <c r="G18" s="1213">
        <v>14.62518</v>
      </c>
      <c r="H18" s="1213">
        <v>18.43741</v>
      </c>
      <c r="I18" s="1213">
        <v>32.181133000000003</v>
      </c>
      <c r="J18" s="1154">
        <f t="shared" si="0"/>
        <v>89.418777943368113</v>
      </c>
      <c r="K18" s="396">
        <v>2014</v>
      </c>
      <c r="L18" s="391">
        <f t="shared" si="2"/>
        <v>3.3836937150999997</v>
      </c>
      <c r="M18" s="391">
        <f t="shared" si="3"/>
        <v>4.6118469852999997</v>
      </c>
      <c r="N18" s="391">
        <f t="shared" si="4"/>
        <v>3.6440976277794941</v>
      </c>
      <c r="O18" s="391">
        <f t="shared" si="5"/>
        <v>2.8877262328</v>
      </c>
      <c r="P18" s="391">
        <f t="shared" si="6"/>
        <v>3.5417096676278645</v>
      </c>
      <c r="Q18" s="391">
        <f t="shared" si="7"/>
        <v>2.028512466</v>
      </c>
      <c r="R18" s="391">
        <f t="shared" si="8"/>
        <v>2.5572687670000001</v>
      </c>
      <c r="S18" s="391">
        <f t="shared" si="9"/>
        <v>8.927046294200002</v>
      </c>
      <c r="T18" s="397">
        <f t="shared" si="10"/>
        <v>12.402384500745157</v>
      </c>
      <c r="U18" s="1217">
        <f t="shared" si="11"/>
        <v>2</v>
      </c>
      <c r="W18" s="806">
        <v>2014</v>
      </c>
      <c r="X18" s="417">
        <f t="shared" si="12"/>
        <v>19.107178853146856</v>
      </c>
      <c r="Y18" s="417">
        <f t="shared" si="13"/>
        <v>35.36646111818181</v>
      </c>
      <c r="Z18" s="417">
        <f t="shared" si="14"/>
        <v>25.060078361921605</v>
      </c>
      <c r="AA18" s="417">
        <f t="shared" si="33"/>
        <v>20.819944</v>
      </c>
      <c r="AB18" s="417">
        <f t="shared" si="15"/>
        <v>24.379381302010604</v>
      </c>
      <c r="AC18" s="417">
        <f t="shared" si="34"/>
        <v>14.62518</v>
      </c>
      <c r="AD18" s="417">
        <f t="shared" si="16"/>
        <v>15.957040941704035</v>
      </c>
      <c r="AE18" s="417">
        <f t="shared" si="35"/>
        <v>32.181133000000003</v>
      </c>
      <c r="AF18" s="499">
        <f t="shared" si="17"/>
        <v>89.418777943368113</v>
      </c>
      <c r="AG18" s="396">
        <v>2014</v>
      </c>
      <c r="AH18" s="391">
        <f t="shared" si="19"/>
        <v>2.6501657069314692</v>
      </c>
      <c r="AI18" s="391">
        <f t="shared" si="20"/>
        <v>4.9053281570918168</v>
      </c>
      <c r="AJ18" s="391">
        <f t="shared" si="21"/>
        <v>3.4758328687985265</v>
      </c>
      <c r="AK18" s="391">
        <f t="shared" si="22"/>
        <v>2.8877262328</v>
      </c>
      <c r="AL18" s="391">
        <f t="shared" si="23"/>
        <v>3.3814201865888709</v>
      </c>
      <c r="AM18" s="391">
        <f t="shared" si="24"/>
        <v>2.028512466</v>
      </c>
      <c r="AN18" s="391">
        <f t="shared" si="25"/>
        <v>2.2132415786143493</v>
      </c>
      <c r="AO18" s="391">
        <f t="shared" si="26"/>
        <v>8.927046294200002</v>
      </c>
      <c r="AP18" s="397">
        <f t="shared" si="27"/>
        <v>12.402384500745157</v>
      </c>
      <c r="AQ18" s="10"/>
      <c r="AR18" s="810" t="str">
        <v>CNG</v>
      </c>
      <c r="AS18" s="10"/>
      <c r="AT18" s="3">
        <v>2014</v>
      </c>
      <c r="AU18" s="3">
        <v>6.101</v>
      </c>
      <c r="AV18" s="3">
        <v>3.4255699199999996</v>
      </c>
      <c r="AW18" s="3">
        <v>3.8250000000000002</v>
      </c>
      <c r="AX18" s="3">
        <f t="shared" si="28"/>
        <v>3.6440976277794945</v>
      </c>
      <c r="AY18" s="3">
        <f t="shared" si="36"/>
        <v>3.5417096676278645</v>
      </c>
      <c r="AZ18" s="3">
        <f t="shared" si="29"/>
        <v>26.273234518958141</v>
      </c>
      <c r="BA18" s="3">
        <f t="shared" si="30"/>
        <v>25.535037257590947</v>
      </c>
    </row>
    <row r="19" spans="1:53" x14ac:dyDescent="0.2">
      <c r="A19" s="807">
        <v>2015</v>
      </c>
      <c r="B19" s="1213">
        <v>17.964410999999998</v>
      </c>
      <c r="C19" s="1213">
        <v>23.267790000000002</v>
      </c>
      <c r="D19" s="417">
        <f t="shared" si="31"/>
        <v>19.276370412676094</v>
      </c>
      <c r="E19" s="1213">
        <v>11.972967000000001</v>
      </c>
      <c r="F19" s="417">
        <f t="shared" si="32"/>
        <v>18.095159363615679</v>
      </c>
      <c r="G19" s="1213">
        <v>8.1054680000000001</v>
      </c>
      <c r="H19" s="1213">
        <v>16.648273</v>
      </c>
      <c r="I19" s="1213">
        <v>29.485486999999999</v>
      </c>
      <c r="J19" s="1154">
        <f t="shared" si="0"/>
        <v>89.418777943368113</v>
      </c>
      <c r="K19" s="398">
        <v>2015</v>
      </c>
      <c r="L19" s="392">
        <f t="shared" si="2"/>
        <v>2.4916638057</v>
      </c>
      <c r="M19" s="392">
        <f t="shared" si="3"/>
        <v>3.2272424730000004</v>
      </c>
      <c r="N19" s="392">
        <f t="shared" si="4"/>
        <v>2.6736325762381745</v>
      </c>
      <c r="O19" s="392">
        <f t="shared" si="5"/>
        <v>1.6606505228999999</v>
      </c>
      <c r="P19" s="392">
        <f t="shared" si="6"/>
        <v>2.5097986037334943</v>
      </c>
      <c r="Q19" s="392">
        <f t="shared" si="7"/>
        <v>1.1242284116000001</v>
      </c>
      <c r="R19" s="392">
        <f t="shared" si="8"/>
        <v>2.3091154651000001</v>
      </c>
      <c r="S19" s="392">
        <f t="shared" si="9"/>
        <v>8.1792740938000001</v>
      </c>
      <c r="T19" s="399">
        <f t="shared" si="10"/>
        <v>12.402384500745157</v>
      </c>
      <c r="U19" s="1217">
        <f t="shared" si="11"/>
        <v>2</v>
      </c>
      <c r="W19" s="807">
        <v>2015</v>
      </c>
      <c r="X19" s="417">
        <f t="shared" si="12"/>
        <v>14.070028195804197</v>
      </c>
      <c r="Y19" s="417">
        <f t="shared" si="13"/>
        <v>24.748467545454545</v>
      </c>
      <c r="Z19" s="417">
        <f t="shared" si="14"/>
        <v>18.386291673623973</v>
      </c>
      <c r="AA19" s="417">
        <f t="shared" si="33"/>
        <v>11.972967000000001</v>
      </c>
      <c r="AB19" s="417">
        <f t="shared" si="15"/>
        <v>17.276214849269167</v>
      </c>
      <c r="AC19" s="417">
        <f t="shared" si="34"/>
        <v>8.1054680000000001</v>
      </c>
      <c r="AD19" s="417">
        <f t="shared" si="16"/>
        <v>14.408595017937218</v>
      </c>
      <c r="AE19" s="417">
        <f t="shared" si="35"/>
        <v>29.485486999999999</v>
      </c>
      <c r="AF19" s="499">
        <f t="shared" si="17"/>
        <v>89.418777943368113</v>
      </c>
      <c r="AG19" s="398">
        <v>2015</v>
      </c>
      <c r="AH19" s="392">
        <f t="shared" si="19"/>
        <v>1.951512910758042</v>
      </c>
      <c r="AI19" s="392">
        <f t="shared" si="20"/>
        <v>3.4326124485545457</v>
      </c>
      <c r="AJ19" s="392">
        <f t="shared" si="21"/>
        <v>2.5501786551316452</v>
      </c>
      <c r="AK19" s="392">
        <f t="shared" si="22"/>
        <v>1.6606505228999999</v>
      </c>
      <c r="AL19" s="392">
        <f t="shared" si="23"/>
        <v>2.3962109995936332</v>
      </c>
      <c r="AM19" s="392">
        <f t="shared" si="24"/>
        <v>1.1242284116000001</v>
      </c>
      <c r="AN19" s="392">
        <f t="shared" si="25"/>
        <v>1.9984721289878922</v>
      </c>
      <c r="AO19" s="392">
        <f t="shared" si="26"/>
        <v>8.1792740938000001</v>
      </c>
      <c r="AP19" s="399">
        <f t="shared" si="27"/>
        <v>12.402384500745157</v>
      </c>
      <c r="AQ19" s="10"/>
      <c r="AR19" s="810" t="str">
        <v>Electricity</v>
      </c>
      <c r="AS19" s="10"/>
      <c r="AT19" s="3">
        <v>2015</v>
      </c>
      <c r="AU19" s="3">
        <v>6.109</v>
      </c>
      <c r="AV19" s="3">
        <v>2.5100100299999997</v>
      </c>
      <c r="AW19" s="3">
        <v>2.7069999999999999</v>
      </c>
      <c r="AX19" s="3">
        <f t="shared" si="28"/>
        <v>2.6736325762381741</v>
      </c>
      <c r="AY19" s="3">
        <f t="shared" si="36"/>
        <v>2.5097986037334952</v>
      </c>
      <c r="AZ19" s="3">
        <f t="shared" si="29"/>
        <v>19.276370412676094</v>
      </c>
      <c r="BA19" s="3">
        <f t="shared" si="30"/>
        <v>18.095159363615679</v>
      </c>
    </row>
    <row r="20" spans="1:53" x14ac:dyDescent="0.2">
      <c r="A20" s="806">
        <v>2016</v>
      </c>
      <c r="B20" s="1193">
        <v>17.741709</v>
      </c>
      <c r="C20" s="1193">
        <v>20.812339999999999</v>
      </c>
      <c r="D20" s="416">
        <f t="shared" si="31"/>
        <v>17.133898361264325</v>
      </c>
      <c r="E20" s="1193">
        <v>9.9809680000000007</v>
      </c>
      <c r="F20" s="416">
        <f t="shared" si="32"/>
        <v>15.595396535463674</v>
      </c>
      <c r="G20" s="1193">
        <v>6.2571779999999997</v>
      </c>
      <c r="H20" s="1193">
        <v>14.278964</v>
      </c>
      <c r="I20" s="1193">
        <v>28.885411999999999</v>
      </c>
      <c r="J20" s="1154">
        <f t="shared" si="0"/>
        <v>85.692995529061108</v>
      </c>
      <c r="K20" s="396">
        <v>2016</v>
      </c>
      <c r="L20" s="391">
        <f t="shared" si="2"/>
        <v>2.4607750383</v>
      </c>
      <c r="M20" s="391">
        <f t="shared" si="3"/>
        <v>2.8866715579999997</v>
      </c>
      <c r="N20" s="391">
        <f t="shared" si="4"/>
        <v>2.3764717027073621</v>
      </c>
      <c r="O20" s="391">
        <f t="shared" si="5"/>
        <v>1.3843602616000001</v>
      </c>
      <c r="P20" s="391">
        <f t="shared" si="6"/>
        <v>2.1630814994688117</v>
      </c>
      <c r="Q20" s="391">
        <f t="shared" si="7"/>
        <v>0.86787058859999988</v>
      </c>
      <c r="R20" s="391">
        <f t="shared" si="8"/>
        <v>1.9804923068000002</v>
      </c>
      <c r="S20" s="391">
        <f t="shared" si="9"/>
        <v>8.0128132887999985</v>
      </c>
      <c r="T20" s="397">
        <f t="shared" si="10"/>
        <v>11.885618479880776</v>
      </c>
      <c r="U20" s="1217">
        <f t="shared" si="11"/>
        <v>2</v>
      </c>
      <c r="W20" s="806">
        <v>2016</v>
      </c>
      <c r="X20" s="1193">
        <f t="shared" si="12"/>
        <v>13.895604251748255</v>
      </c>
      <c r="Y20" s="1193">
        <f t="shared" si="13"/>
        <v>22.136761636363634</v>
      </c>
      <c r="Z20" s="1193">
        <f t="shared" si="14"/>
        <v>16.342747417287203</v>
      </c>
      <c r="AA20" s="1193">
        <f t="shared" si="33"/>
        <v>9.9809680000000007</v>
      </c>
      <c r="AB20" s="1193">
        <f t="shared" si="15"/>
        <v>14.889585429568855</v>
      </c>
      <c r="AC20" s="1193">
        <f t="shared" si="34"/>
        <v>6.2571779999999997</v>
      </c>
      <c r="AD20" s="1193">
        <f t="shared" si="16"/>
        <v>12.358027139013453</v>
      </c>
      <c r="AE20" s="1193">
        <f t="shared" si="35"/>
        <v>28.885411999999999</v>
      </c>
      <c r="AF20" s="499">
        <f t="shared" si="17"/>
        <v>85.692995529061108</v>
      </c>
      <c r="AG20" s="396">
        <v>2016</v>
      </c>
      <c r="AH20" s="391">
        <f t="shared" si="19"/>
        <v>1.9273203097174829</v>
      </c>
      <c r="AI20" s="391">
        <f t="shared" si="20"/>
        <v>3.0703688389636361</v>
      </c>
      <c r="AJ20" s="391">
        <f t="shared" si="21"/>
        <v>2.2667390667777352</v>
      </c>
      <c r="AK20" s="391">
        <f t="shared" si="22"/>
        <v>1.3843602616000001</v>
      </c>
      <c r="AL20" s="391">
        <f t="shared" si="23"/>
        <v>2.0651854990812004</v>
      </c>
      <c r="AM20" s="391">
        <f t="shared" si="24"/>
        <v>0.86787058859999988</v>
      </c>
      <c r="AN20" s="391">
        <f t="shared" si="25"/>
        <v>1.714058364181166</v>
      </c>
      <c r="AO20" s="391">
        <f t="shared" si="26"/>
        <v>8.0128132887999985</v>
      </c>
      <c r="AP20" s="397">
        <f t="shared" si="27"/>
        <v>11.885618479880776</v>
      </c>
      <c r="AQ20" s="10"/>
      <c r="AR20" s="810" t="str">
        <v>Hydrogen</v>
      </c>
      <c r="AS20" s="10"/>
      <c r="AT20" s="3">
        <v>2016</v>
      </c>
      <c r="AU20" s="3">
        <v>6.1859999999999999</v>
      </c>
      <c r="AV20" s="3">
        <v>2.2032642600000001</v>
      </c>
      <c r="AW20" s="3">
        <v>2.3039999999999998</v>
      </c>
      <c r="AX20" s="3">
        <f t="shared" si="28"/>
        <v>2.3764717027073621</v>
      </c>
      <c r="AY20" s="3">
        <f t="shared" si="36"/>
        <v>2.1630814994688112</v>
      </c>
      <c r="AZ20" s="3">
        <f t="shared" si="29"/>
        <v>17.133898361264325</v>
      </c>
      <c r="BA20" s="3">
        <f t="shared" si="30"/>
        <v>15.595396535463674</v>
      </c>
    </row>
    <row r="21" spans="1:53" ht="13.5" thickBot="1" x14ac:dyDescent="0.25">
      <c r="A21" s="806">
        <v>2017</v>
      </c>
      <c r="B21" s="1213">
        <v>19.093874</v>
      </c>
      <c r="C21" s="1213">
        <v>22.146609999999999</v>
      </c>
      <c r="D21" s="417">
        <f t="shared" si="31"/>
        <v>19.605030446056329</v>
      </c>
      <c r="E21" s="1213">
        <v>12.362413999999999</v>
      </c>
      <c r="F21" s="417">
        <f t="shared" si="32"/>
        <v>18.320171162026067</v>
      </c>
      <c r="G21" s="1213">
        <v>8.6428510000000003</v>
      </c>
      <c r="H21" s="1213">
        <v>14.744268999999999</v>
      </c>
      <c r="I21" s="1213">
        <v>29.101451999999998</v>
      </c>
      <c r="J21" s="1154">
        <f t="shared" si="0"/>
        <v>81.967213114754102</v>
      </c>
      <c r="K21" s="396">
        <v>2017</v>
      </c>
      <c r="L21" s="391">
        <f t="shared" si="2"/>
        <v>2.6483203237999997</v>
      </c>
      <c r="M21" s="391">
        <f t="shared" si="3"/>
        <v>3.0717348069999999</v>
      </c>
      <c r="N21" s="391">
        <f t="shared" si="4"/>
        <v>2.7192177228680126</v>
      </c>
      <c r="O21" s="391">
        <f t="shared" si="5"/>
        <v>1.7146668217999999</v>
      </c>
      <c r="P21" s="391">
        <f t="shared" si="6"/>
        <v>2.5410077401730158</v>
      </c>
      <c r="Q21" s="391">
        <f t="shared" si="7"/>
        <v>1.1987634336999999</v>
      </c>
      <c r="R21" s="391">
        <f t="shared" si="8"/>
        <v>2.0450301102999999</v>
      </c>
      <c r="S21" s="391">
        <f t="shared" si="9"/>
        <v>8.0727427847999991</v>
      </c>
      <c r="T21" s="397">
        <f t="shared" si="10"/>
        <v>11.368852459016393</v>
      </c>
      <c r="U21" s="1217">
        <f t="shared" si="11"/>
        <v>2</v>
      </c>
      <c r="W21" s="806">
        <v>2017</v>
      </c>
      <c r="X21" s="1213">
        <f t="shared" si="12"/>
        <v>14.954642573426575</v>
      </c>
      <c r="Y21" s="1213">
        <f t="shared" si="13"/>
        <v>23.555939727272722</v>
      </c>
      <c r="Z21" s="1213">
        <f t="shared" si="14"/>
        <v>18.69977596064609</v>
      </c>
      <c r="AA21" s="1213">
        <f t="shared" si="33"/>
        <v>12.362413999999999</v>
      </c>
      <c r="AB21" s="1213">
        <f t="shared" si="15"/>
        <v>17.491043140904704</v>
      </c>
      <c r="AC21" s="1213">
        <f t="shared" si="34"/>
        <v>8.6428510000000003</v>
      </c>
      <c r="AD21" s="1213">
        <f t="shared" si="16"/>
        <v>12.760735053811658</v>
      </c>
      <c r="AE21" s="1213">
        <f t="shared" si="35"/>
        <v>29.101451999999998</v>
      </c>
      <c r="AF21" s="499">
        <f t="shared" si="17"/>
        <v>81.967213114754102</v>
      </c>
      <c r="AG21" s="396">
        <v>2017</v>
      </c>
      <c r="AH21" s="391">
        <f t="shared" si="19"/>
        <v>2.0742089249342661</v>
      </c>
      <c r="AI21" s="391">
        <f t="shared" si="20"/>
        <v>3.2672088401727266</v>
      </c>
      <c r="AJ21" s="391">
        <f t="shared" si="21"/>
        <v>2.5936589257416123</v>
      </c>
      <c r="AK21" s="391">
        <f t="shared" si="22"/>
        <v>1.7146668217999999</v>
      </c>
      <c r="AL21" s="391">
        <f t="shared" si="23"/>
        <v>2.4260076836434825</v>
      </c>
      <c r="AM21" s="391">
        <f t="shared" si="24"/>
        <v>1.1987634336999999</v>
      </c>
      <c r="AN21" s="391">
        <f t="shared" si="25"/>
        <v>1.7699139519636768</v>
      </c>
      <c r="AO21" s="391">
        <f t="shared" si="26"/>
        <v>8.0727427847999991</v>
      </c>
      <c r="AP21" s="397">
        <f t="shared" si="27"/>
        <v>11.368852459016393</v>
      </c>
      <c r="AQ21" s="10"/>
      <c r="AR21" s="811" t="s">
        <v>229</v>
      </c>
      <c r="AS21" s="10"/>
      <c r="AT21" s="3">
        <v>2017</v>
      </c>
      <c r="AU21" s="3">
        <v>6.3179999999999996</v>
      </c>
      <c r="AV21" s="3">
        <v>2.4683584000000001</v>
      </c>
      <c r="AW21" s="3">
        <v>2.65</v>
      </c>
      <c r="AX21" s="3">
        <f t="shared" si="28"/>
        <v>2.719217722868013</v>
      </c>
      <c r="AY21" s="3">
        <f t="shared" si="36"/>
        <v>2.5410077401730153</v>
      </c>
      <c r="AZ21" s="3">
        <f t="shared" si="29"/>
        <v>19.605030446056329</v>
      </c>
      <c r="BA21" s="3">
        <f t="shared" si="30"/>
        <v>18.320171162026067</v>
      </c>
    </row>
    <row r="22" spans="1:53" ht="13.5" thickTop="1" x14ac:dyDescent="0.2">
      <c r="A22" s="806">
        <v>2018</v>
      </c>
      <c r="B22" s="1213">
        <v>18.011908999999999</v>
      </c>
      <c r="C22" s="1213">
        <v>29.232935000000001</v>
      </c>
      <c r="D22" s="417">
        <f t="shared" si="31"/>
        <v>22.739042504488459</v>
      </c>
      <c r="E22" s="1213">
        <v>16.156372000000001</v>
      </c>
      <c r="F22" s="417">
        <f t="shared" si="32"/>
        <v>22.505902487847884</v>
      </c>
      <c r="G22" s="1213">
        <v>10.938333999999999</v>
      </c>
      <c r="H22" s="1213">
        <v>14.392683999999999</v>
      </c>
      <c r="I22" s="1213">
        <v>33.287472000000001</v>
      </c>
      <c r="J22" s="1154">
        <f t="shared" si="0"/>
        <v>78.241430700447097</v>
      </c>
      <c r="K22" s="396">
        <v>2018</v>
      </c>
      <c r="L22" s="391">
        <f t="shared" si="2"/>
        <v>2.4982517782999998</v>
      </c>
      <c r="M22" s="391">
        <f t="shared" si="3"/>
        <v>4.0546080845000008</v>
      </c>
      <c r="N22" s="391">
        <f t="shared" si="4"/>
        <v>3.1539051953725492</v>
      </c>
      <c r="O22" s="391">
        <f t="shared" si="5"/>
        <v>2.2408887964000002</v>
      </c>
      <c r="P22" s="391">
        <f t="shared" si="6"/>
        <v>3.1215686750645015</v>
      </c>
      <c r="Q22" s="391">
        <f t="shared" si="7"/>
        <v>1.5171469257999999</v>
      </c>
      <c r="R22" s="391">
        <f t="shared" si="8"/>
        <v>1.9962652707999997</v>
      </c>
      <c r="S22" s="391">
        <f t="shared" si="9"/>
        <v>9.2339447327999995</v>
      </c>
      <c r="T22" s="397">
        <f t="shared" si="10"/>
        <v>10.852086438152012</v>
      </c>
      <c r="U22" s="1217">
        <f t="shared" si="11"/>
        <v>2</v>
      </c>
      <c r="W22" s="806">
        <v>2018</v>
      </c>
      <c r="X22" s="1213">
        <f t="shared" si="12"/>
        <v>14.107229426573427</v>
      </c>
      <c r="Y22" s="1213">
        <f t="shared" si="13"/>
        <v>31.09321268181818</v>
      </c>
      <c r="Z22" s="1213">
        <f t="shared" si="14"/>
        <v>21.689076258439453</v>
      </c>
      <c r="AA22" s="1213">
        <f t="shared" si="33"/>
        <v>16.156372000000001</v>
      </c>
      <c r="AB22" s="1213">
        <f t="shared" si="15"/>
        <v>21.487338074433527</v>
      </c>
      <c r="AC22" s="1213">
        <f t="shared" si="34"/>
        <v>10.938333999999999</v>
      </c>
      <c r="AD22" s="1213">
        <f t="shared" si="16"/>
        <v>12.45644848430493</v>
      </c>
      <c r="AE22" s="1213">
        <f t="shared" si="35"/>
        <v>33.287472000000001</v>
      </c>
      <c r="AF22" s="499">
        <f t="shared" si="17"/>
        <v>78.241430700447097</v>
      </c>
      <c r="AG22" s="396">
        <v>2018</v>
      </c>
      <c r="AH22" s="391">
        <f t="shared" si="19"/>
        <v>1.9566727214657342</v>
      </c>
      <c r="AI22" s="391">
        <f t="shared" si="20"/>
        <v>4.3126285989681818</v>
      </c>
      <c r="AJ22" s="391">
        <f t="shared" si="21"/>
        <v>3.0082748770455523</v>
      </c>
      <c r="AK22" s="391">
        <f t="shared" si="22"/>
        <v>2.2408887964000002</v>
      </c>
      <c r="AL22" s="391">
        <f t="shared" si="23"/>
        <v>2.9802937909239304</v>
      </c>
      <c r="AM22" s="391">
        <f t="shared" si="24"/>
        <v>1.5171469257999999</v>
      </c>
      <c r="AN22" s="391">
        <f t="shared" si="25"/>
        <v>1.7277094047730939</v>
      </c>
      <c r="AO22" s="391">
        <f t="shared" si="26"/>
        <v>9.2339447327999995</v>
      </c>
      <c r="AP22" s="397">
        <f t="shared" si="27"/>
        <v>10.852086438152012</v>
      </c>
      <c r="AQ22" s="10"/>
      <c r="AT22" s="3">
        <v>2018</v>
      </c>
      <c r="AU22" s="3">
        <v>6.4720000000000004</v>
      </c>
      <c r="AV22" s="3">
        <v>2.7948209099999999</v>
      </c>
      <c r="AW22" s="3">
        <v>3.1779999999999999</v>
      </c>
      <c r="AX22" s="3">
        <f t="shared" si="28"/>
        <v>3.1539051953725488</v>
      </c>
      <c r="AY22" s="3">
        <f t="shared" si="36"/>
        <v>3.1215686750645011</v>
      </c>
      <c r="AZ22" s="3">
        <f t="shared" si="29"/>
        <v>22.739042504488459</v>
      </c>
      <c r="BA22" s="3">
        <f t="shared" si="30"/>
        <v>22.505902487847884</v>
      </c>
    </row>
    <row r="23" spans="1:53" x14ac:dyDescent="0.2">
      <c r="A23" s="806">
        <v>2019</v>
      </c>
      <c r="B23" s="338">
        <v>16.634917999999999</v>
      </c>
      <c r="C23" s="338">
        <v>24.537946999999999</v>
      </c>
      <c r="D23" s="338">
        <v>22.170871999999999</v>
      </c>
      <c r="E23" s="338">
        <v>14.641048</v>
      </c>
      <c r="F23" s="338">
        <v>22.110787999999999</v>
      </c>
      <c r="G23" s="338">
        <v>9.5779259999999997</v>
      </c>
      <c r="H23" s="338">
        <v>13.698598</v>
      </c>
      <c r="I23" s="338">
        <v>33.252597999999999</v>
      </c>
      <c r="J23" s="1154">
        <f t="shared" si="0"/>
        <v>74.515648286140092</v>
      </c>
      <c r="K23" s="396">
        <v>2019</v>
      </c>
      <c r="L23" s="391">
        <f t="shared" si="2"/>
        <v>2.3072631266000001</v>
      </c>
      <c r="M23" s="391">
        <f t="shared" si="3"/>
        <v>3.4034132489000002</v>
      </c>
      <c r="N23" s="391">
        <f t="shared" si="4"/>
        <v>3.0750999464</v>
      </c>
      <c r="O23" s="391">
        <f t="shared" si="5"/>
        <v>2.0307133575999998</v>
      </c>
      <c r="P23" s="391">
        <f t="shared" si="6"/>
        <v>3.0667662955999999</v>
      </c>
      <c r="Q23" s="391">
        <f t="shared" si="7"/>
        <v>1.3284583362</v>
      </c>
      <c r="R23" s="391">
        <f t="shared" si="8"/>
        <v>1.8999955426000001</v>
      </c>
      <c r="S23" s="391">
        <f t="shared" si="9"/>
        <v>9.2242706852000005</v>
      </c>
      <c r="T23" s="397">
        <f t="shared" si="10"/>
        <v>10.335320417287631</v>
      </c>
      <c r="U23" s="1217">
        <f t="shared" si="11"/>
        <v>2</v>
      </c>
      <c r="W23" s="806">
        <v>2019</v>
      </c>
      <c r="X23" s="338">
        <f t="shared" si="12"/>
        <v>13.028746965034966</v>
      </c>
      <c r="Y23" s="338">
        <f t="shared" si="13"/>
        <v>26.099452718181812</v>
      </c>
      <c r="Z23" s="338">
        <f t="shared" si="14"/>
        <v>21.147140801077349</v>
      </c>
      <c r="AA23" s="338">
        <f t="shared" si="33"/>
        <v>14.641048</v>
      </c>
      <c r="AB23" s="338">
        <f t="shared" si="15"/>
        <v>21.110105542519808</v>
      </c>
      <c r="AC23" s="338">
        <f t="shared" si="34"/>
        <v>9.5779259999999997</v>
      </c>
      <c r="AD23" s="338">
        <f t="shared" si="16"/>
        <v>11.85573728251121</v>
      </c>
      <c r="AE23" s="338">
        <f t="shared" si="35"/>
        <v>33.252597999999999</v>
      </c>
      <c r="AF23" s="499">
        <f t="shared" si="17"/>
        <v>74.515648286140092</v>
      </c>
      <c r="AG23" s="396">
        <v>2019</v>
      </c>
      <c r="AH23" s="391">
        <f t="shared" si="19"/>
        <v>1.8070872040503498</v>
      </c>
      <c r="AI23" s="391">
        <f t="shared" si="20"/>
        <v>3.6199940920118174</v>
      </c>
      <c r="AJ23" s="391">
        <f t="shared" si="21"/>
        <v>2.9331084291094283</v>
      </c>
      <c r="AK23" s="391">
        <f t="shared" si="22"/>
        <v>2.0307133575999998</v>
      </c>
      <c r="AL23" s="391">
        <f t="shared" si="23"/>
        <v>2.9279716387474974</v>
      </c>
      <c r="AM23" s="391">
        <f t="shared" si="24"/>
        <v>1.3284583362</v>
      </c>
      <c r="AN23" s="391">
        <f t="shared" si="25"/>
        <v>1.6443907610843049</v>
      </c>
      <c r="AO23" s="391">
        <f t="shared" si="26"/>
        <v>9.2242706852000005</v>
      </c>
      <c r="AP23" s="397">
        <f t="shared" si="27"/>
        <v>10.335320417287631</v>
      </c>
      <c r="AQ23" s="10"/>
      <c r="AT23" s="3">
        <v>2019</v>
      </c>
      <c r="AU23" s="3">
        <v>6.5890000000000004</v>
      </c>
      <c r="AV23" s="3">
        <v>2.6971813500000001</v>
      </c>
      <c r="AW23" s="3">
        <v>3.056</v>
      </c>
      <c r="AX23" s="3">
        <f t="shared" si="28"/>
        <v>3.0987447049102927</v>
      </c>
      <c r="AY23" s="3">
        <f t="shared" si="36"/>
        <v>3.056</v>
      </c>
      <c r="AZ23" s="3">
        <f t="shared" si="29"/>
        <v>22.341346106058349</v>
      </c>
      <c r="BA23" s="3">
        <f t="shared" si="30"/>
        <v>22.033165104542178</v>
      </c>
    </row>
    <row r="24" spans="1:53" x14ac:dyDescent="0.2">
      <c r="A24" s="807">
        <v>2020</v>
      </c>
      <c r="B24" s="338">
        <v>15.560148999999999</v>
      </c>
      <c r="C24" s="338">
        <v>24.243863999999999</v>
      </c>
      <c r="D24" s="338">
        <v>21.954423999999999</v>
      </c>
      <c r="E24" s="338">
        <v>14.449450000000001</v>
      </c>
      <c r="F24" s="338">
        <v>21.343924999999999</v>
      </c>
      <c r="G24" s="338">
        <v>10.569046</v>
      </c>
      <c r="H24" s="338">
        <v>13.285862</v>
      </c>
      <c r="I24" s="338">
        <v>33.912785</v>
      </c>
      <c r="J24" s="1154">
        <f t="shared" si="0"/>
        <v>70.789865871833086</v>
      </c>
      <c r="K24" s="398">
        <v>2020</v>
      </c>
      <c r="L24" s="392">
        <f t="shared" si="2"/>
        <v>2.1581926662999997</v>
      </c>
      <c r="M24" s="392">
        <f t="shared" si="3"/>
        <v>3.3626239367999999</v>
      </c>
      <c r="N24" s="392">
        <f t="shared" si="4"/>
        <v>3.0450786087999999</v>
      </c>
      <c r="O24" s="392">
        <f t="shared" si="5"/>
        <v>2.0041387150000003</v>
      </c>
      <c r="P24" s="392">
        <f t="shared" si="6"/>
        <v>2.9604023974999998</v>
      </c>
      <c r="Q24" s="392">
        <f t="shared" si="7"/>
        <v>1.4659266802000002</v>
      </c>
      <c r="R24" s="392">
        <f t="shared" si="8"/>
        <v>1.8427490594</v>
      </c>
      <c r="S24" s="392">
        <f t="shared" si="9"/>
        <v>9.407406559</v>
      </c>
      <c r="T24" s="399">
        <f t="shared" si="10"/>
        <v>9.8185543964232487</v>
      </c>
      <c r="U24" s="1218">
        <f>'S-curves'!AN9</f>
        <v>2</v>
      </c>
      <c r="W24" s="807">
        <v>2020</v>
      </c>
      <c r="X24" s="338">
        <f t="shared" si="12"/>
        <v>12.186969846153847</v>
      </c>
      <c r="Y24" s="338">
        <f t="shared" si="13"/>
        <v>25.786655345454541</v>
      </c>
      <c r="Z24" s="338">
        <f t="shared" si="14"/>
        <v>20.940687201412366</v>
      </c>
      <c r="AA24" s="338">
        <f t="shared" si="33"/>
        <v>14.449450000000001</v>
      </c>
      <c r="AB24" s="338">
        <f t="shared" si="15"/>
        <v>20.377948965076552</v>
      </c>
      <c r="AC24" s="338">
        <f t="shared" si="34"/>
        <v>10.569046</v>
      </c>
      <c r="AD24" s="338">
        <f t="shared" si="16"/>
        <v>11.498526304932735</v>
      </c>
      <c r="AE24" s="338">
        <f t="shared" si="35"/>
        <v>33.912785</v>
      </c>
      <c r="AF24" s="499">
        <f t="shared" si="17"/>
        <v>70.789865871833086</v>
      </c>
      <c r="AG24" s="398">
        <v>2020</v>
      </c>
      <c r="AH24" s="392">
        <f t="shared" si="19"/>
        <v>1.6903327176615386</v>
      </c>
      <c r="AI24" s="392">
        <f t="shared" si="20"/>
        <v>3.5766090964145447</v>
      </c>
      <c r="AJ24" s="392">
        <f t="shared" si="21"/>
        <v>2.9044733148358954</v>
      </c>
      <c r="AK24" s="392">
        <f t="shared" si="22"/>
        <v>2.0041387150000003</v>
      </c>
      <c r="AL24" s="392">
        <f t="shared" si="23"/>
        <v>2.8264215214561177</v>
      </c>
      <c r="AM24" s="392">
        <f t="shared" si="24"/>
        <v>1.4659266802000002</v>
      </c>
      <c r="AN24" s="392">
        <f t="shared" si="25"/>
        <v>1.5948455984941705</v>
      </c>
      <c r="AO24" s="392">
        <f t="shared" si="26"/>
        <v>9.407406559</v>
      </c>
      <c r="AP24" s="399">
        <f t="shared" si="27"/>
        <v>9.8185543964232487</v>
      </c>
      <c r="AQ24" s="10"/>
    </row>
    <row r="25" spans="1:53" x14ac:dyDescent="0.2">
      <c r="A25" s="806">
        <v>2021</v>
      </c>
      <c r="B25" s="338">
        <v>16.020731000000001</v>
      </c>
      <c r="C25" s="338">
        <v>29.909514999999999</v>
      </c>
      <c r="D25" s="338">
        <v>21.978480999999999</v>
      </c>
      <c r="E25" s="338">
        <v>14.469915</v>
      </c>
      <c r="F25" s="338">
        <v>21.456230000000001</v>
      </c>
      <c r="G25" s="338">
        <v>10.419720999999999</v>
      </c>
      <c r="H25" s="338">
        <v>12.658550999999999</v>
      </c>
      <c r="I25" s="338">
        <v>33.971561000000001</v>
      </c>
      <c r="J25" s="1154">
        <f t="shared" si="0"/>
        <v>67.064083457526081</v>
      </c>
      <c r="K25" s="396">
        <v>2021</v>
      </c>
      <c r="L25" s="391">
        <f t="shared" si="2"/>
        <v>2.2220753897000001</v>
      </c>
      <c r="M25" s="391">
        <f t="shared" si="3"/>
        <v>4.1484497305000003</v>
      </c>
      <c r="N25" s="391">
        <f t="shared" si="4"/>
        <v>3.0484153147000002</v>
      </c>
      <c r="O25" s="391">
        <f t="shared" si="5"/>
        <v>2.0069772105000001</v>
      </c>
      <c r="P25" s="391">
        <f t="shared" si="6"/>
        <v>2.9759791010000001</v>
      </c>
      <c r="Q25" s="391">
        <f t="shared" si="7"/>
        <v>1.4452153026999999</v>
      </c>
      <c r="R25" s="391">
        <f t="shared" si="8"/>
        <v>1.7557410236999997</v>
      </c>
      <c r="S25" s="391">
        <f t="shared" si="9"/>
        <v>9.4237110214000008</v>
      </c>
      <c r="T25" s="397">
        <f t="shared" si="10"/>
        <v>9.3017883755588677</v>
      </c>
      <c r="U25" s="1218">
        <f>'S-curves'!AN10</f>
        <v>2</v>
      </c>
      <c r="W25" s="806">
        <v>2021</v>
      </c>
      <c r="X25" s="338">
        <f t="shared" si="12"/>
        <v>12.547705398601401</v>
      </c>
      <c r="Y25" s="338">
        <f t="shared" si="13"/>
        <v>31.812847772727267</v>
      </c>
      <c r="Z25" s="338">
        <f t="shared" si="14"/>
        <v>20.963633379003014</v>
      </c>
      <c r="AA25" s="338">
        <f t="shared" si="33"/>
        <v>14.469915</v>
      </c>
      <c r="AB25" s="338">
        <f t="shared" si="15"/>
        <v>20.485171303916431</v>
      </c>
      <c r="AC25" s="338">
        <f t="shared" si="34"/>
        <v>10.419720999999999</v>
      </c>
      <c r="AD25" s="338">
        <f t="shared" si="16"/>
        <v>10.955606919282509</v>
      </c>
      <c r="AE25" s="338">
        <f t="shared" si="35"/>
        <v>33.971561000000001</v>
      </c>
      <c r="AF25" s="499">
        <f t="shared" si="17"/>
        <v>67.064083457526081</v>
      </c>
      <c r="AG25" s="396">
        <v>2021</v>
      </c>
      <c r="AH25" s="391">
        <f t="shared" si="19"/>
        <v>1.7403667387860142</v>
      </c>
      <c r="AI25" s="391">
        <f t="shared" si="20"/>
        <v>4.4124419860772726</v>
      </c>
      <c r="AJ25" s="391">
        <f t="shared" si="21"/>
        <v>2.9076559496677179</v>
      </c>
      <c r="AK25" s="391">
        <f t="shared" si="22"/>
        <v>2.0069772105000001</v>
      </c>
      <c r="AL25" s="391">
        <f t="shared" si="23"/>
        <v>2.841293259853209</v>
      </c>
      <c r="AM25" s="391">
        <f t="shared" si="24"/>
        <v>1.4452153026999999</v>
      </c>
      <c r="AN25" s="391">
        <f t="shared" si="25"/>
        <v>1.519542679704484</v>
      </c>
      <c r="AO25" s="391">
        <f t="shared" si="26"/>
        <v>9.4237110214000008</v>
      </c>
      <c r="AP25" s="397">
        <f t="shared" si="27"/>
        <v>9.3017883755588677</v>
      </c>
      <c r="AQ25" s="10"/>
    </row>
    <row r="26" spans="1:53" x14ac:dyDescent="0.2">
      <c r="A26" s="806">
        <v>2022</v>
      </c>
      <c r="B26" s="338">
        <v>16.712645999999999</v>
      </c>
      <c r="C26" s="338">
        <v>28.426769</v>
      </c>
      <c r="D26" s="338">
        <v>21.98358</v>
      </c>
      <c r="E26" s="338">
        <v>14.677915</v>
      </c>
      <c r="F26" s="338">
        <v>21.792422999999999</v>
      </c>
      <c r="G26" s="338">
        <v>10.188439000000001</v>
      </c>
      <c r="H26" s="338">
        <v>12.415777</v>
      </c>
      <c r="I26" s="338">
        <v>34.360657000000003</v>
      </c>
      <c r="J26" s="1154">
        <f t="shared" si="0"/>
        <v>63.338301043219076</v>
      </c>
      <c r="K26" s="396">
        <v>2022</v>
      </c>
      <c r="L26" s="391">
        <f t="shared" si="2"/>
        <v>2.3180440002</v>
      </c>
      <c r="M26" s="391">
        <f t="shared" si="3"/>
        <v>3.9427928603</v>
      </c>
      <c r="N26" s="391">
        <f t="shared" si="4"/>
        <v>3.049122546</v>
      </c>
      <c r="O26" s="391">
        <f t="shared" si="5"/>
        <v>2.0358268105000001</v>
      </c>
      <c r="P26" s="391">
        <f t="shared" si="6"/>
        <v>3.0226090701000001</v>
      </c>
      <c r="Q26" s="391">
        <f t="shared" si="7"/>
        <v>1.4131364893</v>
      </c>
      <c r="R26" s="391">
        <f t="shared" si="8"/>
        <v>1.7220682699000001</v>
      </c>
      <c r="S26" s="391">
        <f t="shared" si="9"/>
        <v>9.5316462517999998</v>
      </c>
      <c r="T26" s="397">
        <f t="shared" si="10"/>
        <v>8.785022354694485</v>
      </c>
      <c r="U26" s="1218">
        <f>'S-curves'!AN11</f>
        <v>2</v>
      </c>
      <c r="W26" s="806">
        <v>2022</v>
      </c>
      <c r="X26" s="338">
        <f t="shared" si="12"/>
        <v>13.089624839160841</v>
      </c>
      <c r="Y26" s="338">
        <f t="shared" si="13"/>
        <v>30.235745209090904</v>
      </c>
      <c r="Z26" s="338">
        <f t="shared" si="14"/>
        <v>20.968496934705502</v>
      </c>
      <c r="AA26" s="338">
        <f t="shared" si="33"/>
        <v>14.677915</v>
      </c>
      <c r="AB26" s="338">
        <f t="shared" si="15"/>
        <v>20.806148996464355</v>
      </c>
      <c r="AC26" s="338">
        <f t="shared" si="34"/>
        <v>10.188439000000001</v>
      </c>
      <c r="AD26" s="338">
        <f t="shared" si="16"/>
        <v>10.745493098654707</v>
      </c>
      <c r="AE26" s="338">
        <f t="shared" si="35"/>
        <v>34.360657000000003</v>
      </c>
      <c r="AF26" s="499">
        <f t="shared" si="17"/>
        <v>63.338301043219076</v>
      </c>
      <c r="AG26" s="396">
        <v>2022</v>
      </c>
      <c r="AH26" s="391">
        <f t="shared" si="19"/>
        <v>1.8155309651916085</v>
      </c>
      <c r="AI26" s="391">
        <f t="shared" si="20"/>
        <v>4.1936978605009081</v>
      </c>
      <c r="AJ26" s="391">
        <f t="shared" si="21"/>
        <v>2.9083305248436533</v>
      </c>
      <c r="AK26" s="391">
        <f t="shared" si="22"/>
        <v>2.0358268105000001</v>
      </c>
      <c r="AL26" s="391">
        <f t="shared" si="23"/>
        <v>2.8858128658096058</v>
      </c>
      <c r="AM26" s="391">
        <f t="shared" si="24"/>
        <v>1.4131364893</v>
      </c>
      <c r="AN26" s="391">
        <f t="shared" si="25"/>
        <v>1.4903998927834079</v>
      </c>
      <c r="AO26" s="391">
        <f t="shared" si="26"/>
        <v>9.5316462517999998</v>
      </c>
      <c r="AP26" s="397">
        <f t="shared" si="27"/>
        <v>8.785022354694485</v>
      </c>
      <c r="AQ26" s="10"/>
    </row>
    <row r="27" spans="1:53" x14ac:dyDescent="0.2">
      <c r="A27" s="806">
        <v>2023</v>
      </c>
      <c r="B27" s="338">
        <v>17.151492999999999</v>
      </c>
      <c r="C27" s="338">
        <v>28.618099000000001</v>
      </c>
      <c r="D27" s="338">
        <v>21.894874999999999</v>
      </c>
      <c r="E27" s="338">
        <v>14.784328</v>
      </c>
      <c r="F27" s="338">
        <v>21.917566000000001</v>
      </c>
      <c r="G27" s="338">
        <v>8.9142880000000009</v>
      </c>
      <c r="H27" s="338">
        <v>12.426674999999999</v>
      </c>
      <c r="I27" s="338">
        <v>34.89761</v>
      </c>
      <c r="J27" s="1154">
        <f t="shared" si="0"/>
        <v>59.612518628912071</v>
      </c>
      <c r="K27" s="396">
        <v>2023</v>
      </c>
      <c r="L27" s="391">
        <f t="shared" si="2"/>
        <v>2.3789120790999996</v>
      </c>
      <c r="M27" s="391">
        <f t="shared" si="3"/>
        <v>3.9693303313000001</v>
      </c>
      <c r="N27" s="391">
        <f t="shared" si="4"/>
        <v>3.0368191624999996</v>
      </c>
      <c r="O27" s="391">
        <f t="shared" si="5"/>
        <v>2.0505862935999999</v>
      </c>
      <c r="P27" s="391">
        <f t="shared" si="6"/>
        <v>3.0399664042000003</v>
      </c>
      <c r="Q27" s="391">
        <f t="shared" si="7"/>
        <v>1.2364117456000001</v>
      </c>
      <c r="R27" s="391">
        <f t="shared" si="8"/>
        <v>1.7235798225000001</v>
      </c>
      <c r="S27" s="391">
        <f t="shared" si="9"/>
        <v>9.6805970139999999</v>
      </c>
      <c r="T27" s="397">
        <f t="shared" si="10"/>
        <v>8.2682563338301041</v>
      </c>
      <c r="U27" s="1218">
        <f>'S-curves'!AN12</f>
        <v>2</v>
      </c>
      <c r="W27" s="806">
        <v>2023</v>
      </c>
      <c r="X27" s="338">
        <f t="shared" si="12"/>
        <v>13.433337174825176</v>
      </c>
      <c r="Y27" s="338">
        <f t="shared" si="13"/>
        <v>30.439250754545451</v>
      </c>
      <c r="Z27" s="338">
        <f t="shared" si="14"/>
        <v>20.883887852809238</v>
      </c>
      <c r="AA27" s="338">
        <f t="shared" si="33"/>
        <v>14.784328</v>
      </c>
      <c r="AB27" s="338">
        <f t="shared" si="15"/>
        <v>20.925628317504724</v>
      </c>
      <c r="AC27" s="338">
        <f t="shared" si="34"/>
        <v>8.9142880000000009</v>
      </c>
      <c r="AD27" s="338">
        <f t="shared" si="16"/>
        <v>10.754924999999998</v>
      </c>
      <c r="AE27" s="338">
        <f t="shared" si="35"/>
        <v>34.89761</v>
      </c>
      <c r="AF27" s="499">
        <f t="shared" si="17"/>
        <v>59.612518628912071</v>
      </c>
      <c r="AG27" s="396">
        <v>2023</v>
      </c>
      <c r="AH27" s="391">
        <f t="shared" si="19"/>
        <v>1.863203866148252</v>
      </c>
      <c r="AI27" s="391">
        <f t="shared" si="20"/>
        <v>4.2219240796554542</v>
      </c>
      <c r="AJ27" s="391">
        <f t="shared" si="21"/>
        <v>2.8965952451846415</v>
      </c>
      <c r="AK27" s="391">
        <f t="shared" si="22"/>
        <v>2.0505862935999999</v>
      </c>
      <c r="AL27" s="391">
        <f t="shared" si="23"/>
        <v>2.9023846476379052</v>
      </c>
      <c r="AM27" s="391">
        <f t="shared" si="24"/>
        <v>1.2364117456000001</v>
      </c>
      <c r="AN27" s="391">
        <f t="shared" si="25"/>
        <v>1.4917080974999997</v>
      </c>
      <c r="AO27" s="391">
        <f t="shared" si="26"/>
        <v>9.6805970139999999</v>
      </c>
      <c r="AP27" s="397">
        <f t="shared" si="27"/>
        <v>8.2682563338301041</v>
      </c>
      <c r="AQ27" s="10"/>
    </row>
    <row r="28" spans="1:53" x14ac:dyDescent="0.2">
      <c r="A28" s="806">
        <v>2024</v>
      </c>
      <c r="B28" s="338">
        <v>17.636644</v>
      </c>
      <c r="C28" s="338">
        <v>28.520074999999999</v>
      </c>
      <c r="D28" s="338">
        <v>21.602947</v>
      </c>
      <c r="E28" s="338">
        <v>15.181978000000001</v>
      </c>
      <c r="F28" s="338">
        <v>22.312809000000001</v>
      </c>
      <c r="G28" s="338">
        <v>9.2094129999999996</v>
      </c>
      <c r="H28" s="338">
        <v>12.301192</v>
      </c>
      <c r="I28" s="338">
        <v>35.386074000000001</v>
      </c>
      <c r="J28" s="1154">
        <f t="shared" si="0"/>
        <v>55.886736214605065</v>
      </c>
      <c r="K28" s="396">
        <v>2024</v>
      </c>
      <c r="L28" s="391">
        <f t="shared" si="2"/>
        <v>2.4462025227999997</v>
      </c>
      <c r="M28" s="391">
        <f t="shared" si="3"/>
        <v>3.9557344024999996</v>
      </c>
      <c r="N28" s="391">
        <f t="shared" si="4"/>
        <v>2.9963287488999999</v>
      </c>
      <c r="O28" s="391">
        <f t="shared" si="5"/>
        <v>2.1057403485999999</v>
      </c>
      <c r="P28" s="391">
        <f t="shared" si="6"/>
        <v>3.0947866083000006</v>
      </c>
      <c r="Q28" s="391">
        <f t="shared" si="7"/>
        <v>1.2773455831</v>
      </c>
      <c r="R28" s="391">
        <f t="shared" si="8"/>
        <v>1.7061753304</v>
      </c>
      <c r="S28" s="391">
        <f t="shared" si="9"/>
        <v>9.8160969276000003</v>
      </c>
      <c r="T28" s="397">
        <f t="shared" si="10"/>
        <v>7.7514903129657231</v>
      </c>
      <c r="U28" s="1218">
        <f>'S-curves'!AN13</f>
        <v>2</v>
      </c>
      <c r="W28" s="806">
        <v>2024</v>
      </c>
      <c r="X28" s="338">
        <f t="shared" si="12"/>
        <v>13.813315580419584</v>
      </c>
      <c r="Y28" s="338">
        <f t="shared" si="13"/>
        <v>30.334988863636358</v>
      </c>
      <c r="Z28" s="338">
        <f t="shared" si="14"/>
        <v>20.605439512131571</v>
      </c>
      <c r="AA28" s="338">
        <f t="shared" si="33"/>
        <v>15.181978000000001</v>
      </c>
      <c r="AB28" s="338">
        <f t="shared" si="15"/>
        <v>21.302983545411671</v>
      </c>
      <c r="AC28" s="338">
        <f t="shared" si="34"/>
        <v>9.2094129999999996</v>
      </c>
      <c r="AD28" s="338">
        <f t="shared" si="16"/>
        <v>10.646323121076232</v>
      </c>
      <c r="AE28" s="338">
        <f t="shared" si="35"/>
        <v>35.386074000000001</v>
      </c>
      <c r="AF28" s="499">
        <f t="shared" si="17"/>
        <v>55.886736214605065</v>
      </c>
      <c r="AG28" s="396">
        <v>2024</v>
      </c>
      <c r="AH28" s="391">
        <f t="shared" si="19"/>
        <v>1.9159068710041964</v>
      </c>
      <c r="AI28" s="391">
        <f t="shared" si="20"/>
        <v>4.2074629553863634</v>
      </c>
      <c r="AJ28" s="391">
        <f t="shared" si="21"/>
        <v>2.8579744603326489</v>
      </c>
      <c r="AK28" s="391">
        <f t="shared" si="22"/>
        <v>2.1057403485999999</v>
      </c>
      <c r="AL28" s="391">
        <f t="shared" si="23"/>
        <v>2.9547238177485986</v>
      </c>
      <c r="AM28" s="391">
        <f t="shared" si="24"/>
        <v>1.2773455831</v>
      </c>
      <c r="AN28" s="391">
        <f t="shared" si="25"/>
        <v>1.4766450168932734</v>
      </c>
      <c r="AO28" s="391">
        <f t="shared" si="26"/>
        <v>9.8160969276000003</v>
      </c>
      <c r="AP28" s="397">
        <f t="shared" si="27"/>
        <v>7.7514903129657231</v>
      </c>
      <c r="AQ28" s="10"/>
    </row>
    <row r="29" spans="1:53" s="48" customFormat="1" x14ac:dyDescent="0.2">
      <c r="A29" s="807">
        <v>2025</v>
      </c>
      <c r="B29" s="338">
        <v>18.329802999999998</v>
      </c>
      <c r="C29" s="338">
        <v>27.862691999999999</v>
      </c>
      <c r="D29" s="338">
        <v>21.847075</v>
      </c>
      <c r="E29" s="338">
        <v>15.254274000000001</v>
      </c>
      <c r="F29" s="338">
        <v>22.445829</v>
      </c>
      <c r="G29" s="338">
        <v>9.4572199999999995</v>
      </c>
      <c r="H29" s="338">
        <v>12.310214999999999</v>
      </c>
      <c r="I29" s="338">
        <v>36.138537999999997</v>
      </c>
      <c r="J29" s="1154">
        <f t="shared" si="0"/>
        <v>52.16095380029806</v>
      </c>
      <c r="K29" s="398">
        <v>2025</v>
      </c>
      <c r="L29" s="392">
        <f t="shared" si="2"/>
        <v>2.5423436760999998</v>
      </c>
      <c r="M29" s="392">
        <f t="shared" si="3"/>
        <v>3.8645553803999997</v>
      </c>
      <c r="N29" s="392">
        <f t="shared" si="4"/>
        <v>3.0301893025000002</v>
      </c>
      <c r="O29" s="392">
        <f t="shared" si="5"/>
        <v>2.1157678037999998</v>
      </c>
      <c r="P29" s="392">
        <f t="shared" si="6"/>
        <v>3.1132364822999996</v>
      </c>
      <c r="Q29" s="392">
        <f t="shared" si="7"/>
        <v>1.3117164139999999</v>
      </c>
      <c r="R29" s="392">
        <f t="shared" si="8"/>
        <v>1.7074268204999998</v>
      </c>
      <c r="S29" s="392">
        <f t="shared" si="9"/>
        <v>10.024830441199999</v>
      </c>
      <c r="T29" s="399">
        <f t="shared" si="10"/>
        <v>7.2347242921013413</v>
      </c>
      <c r="U29" s="1218">
        <f>'S-curves'!AN14</f>
        <v>2</v>
      </c>
      <c r="V29"/>
      <c r="W29" s="807">
        <v>2025</v>
      </c>
      <c r="X29" s="338">
        <f t="shared" si="12"/>
        <v>14.356209342657344</v>
      </c>
      <c r="Y29" s="338">
        <f t="shared" si="13"/>
        <v>29.635772399999993</v>
      </c>
      <c r="Z29" s="338">
        <f t="shared" si="14"/>
        <v>20.838294998802798</v>
      </c>
      <c r="AA29" s="338">
        <f t="shared" si="33"/>
        <v>15.254274000000001</v>
      </c>
      <c r="AB29" s="338">
        <f t="shared" si="15"/>
        <v>21.4299833718885</v>
      </c>
      <c r="AC29" s="338">
        <f t="shared" si="34"/>
        <v>9.4572199999999995</v>
      </c>
      <c r="AD29" s="338">
        <f t="shared" si="16"/>
        <v>10.65413226457399</v>
      </c>
      <c r="AE29" s="338">
        <f t="shared" si="35"/>
        <v>36.138537999999997</v>
      </c>
      <c r="AF29" s="499">
        <f t="shared" si="17"/>
        <v>52.16095380029806</v>
      </c>
      <c r="AG29" s="398">
        <v>2025</v>
      </c>
      <c r="AH29" s="392">
        <f t="shared" si="19"/>
        <v>1.9912062358265736</v>
      </c>
      <c r="AI29" s="392">
        <f t="shared" si="20"/>
        <v>4.110481631879999</v>
      </c>
      <c r="AJ29" s="392">
        <f t="shared" si="21"/>
        <v>2.8902715163339479</v>
      </c>
      <c r="AK29" s="392">
        <f t="shared" si="22"/>
        <v>2.1157678037999998</v>
      </c>
      <c r="AL29" s="392">
        <f t="shared" si="23"/>
        <v>2.9723386936809351</v>
      </c>
      <c r="AM29" s="392">
        <f t="shared" si="24"/>
        <v>1.3117164139999999</v>
      </c>
      <c r="AN29" s="392">
        <f t="shared" si="25"/>
        <v>1.4777281450964124</v>
      </c>
      <c r="AO29" s="392">
        <f t="shared" si="26"/>
        <v>10.024830441199999</v>
      </c>
      <c r="AP29" s="399">
        <f t="shared" si="27"/>
        <v>7.2347242921013413</v>
      </c>
      <c r="AQ29" s="10"/>
    </row>
    <row r="30" spans="1:53" x14ac:dyDescent="0.2">
      <c r="A30" s="806">
        <v>2026</v>
      </c>
      <c r="B30" s="338">
        <v>18.998629000000001</v>
      </c>
      <c r="C30" s="338">
        <v>27.936610999999999</v>
      </c>
      <c r="D30" s="338">
        <v>22.031654</v>
      </c>
      <c r="E30" s="338">
        <v>15.71048</v>
      </c>
      <c r="F30" s="338">
        <v>22.857292000000001</v>
      </c>
      <c r="G30" s="338">
        <v>10.104760000000001</v>
      </c>
      <c r="H30" s="338">
        <v>12.265231</v>
      </c>
      <c r="I30" s="338">
        <v>36.758361999999998</v>
      </c>
      <c r="J30" s="1154">
        <f t="shared" si="0"/>
        <v>51.266766020864381</v>
      </c>
      <c r="K30" s="396">
        <v>2026</v>
      </c>
      <c r="L30" s="391">
        <f t="shared" si="2"/>
        <v>2.6351098423000003</v>
      </c>
      <c r="M30" s="391">
        <f t="shared" si="3"/>
        <v>3.8748079457000002</v>
      </c>
      <c r="N30" s="391">
        <f t="shared" si="4"/>
        <v>3.0557904098000002</v>
      </c>
      <c r="O30" s="391">
        <f t="shared" si="5"/>
        <v>2.1790435759999998</v>
      </c>
      <c r="P30" s="391">
        <f t="shared" si="6"/>
        <v>3.1703064004000003</v>
      </c>
      <c r="Q30" s="391">
        <f t="shared" si="7"/>
        <v>1.4015302120000002</v>
      </c>
      <c r="R30" s="391">
        <f t="shared" si="8"/>
        <v>1.7011875397</v>
      </c>
      <c r="S30" s="391">
        <f t="shared" si="9"/>
        <v>10.196769618799999</v>
      </c>
      <c r="T30" s="397">
        <f t="shared" si="10"/>
        <v>7.1107004470938904</v>
      </c>
      <c r="U30" s="1218">
        <f>'S-curves'!AN15</f>
        <v>2</v>
      </c>
      <c r="W30" s="806">
        <v>2026</v>
      </c>
      <c r="X30" s="338">
        <f t="shared" si="12"/>
        <v>14.880045090909094</v>
      </c>
      <c r="Y30" s="338">
        <f t="shared" si="13"/>
        <v>29.71439533636363</v>
      </c>
      <c r="Z30" s="338">
        <f t="shared" si="14"/>
        <v>21.014351136870889</v>
      </c>
      <c r="AA30" s="338">
        <f t="shared" si="33"/>
        <v>15.71048</v>
      </c>
      <c r="AB30" s="338">
        <f t="shared" si="15"/>
        <v>21.822824520600246</v>
      </c>
      <c r="AC30" s="338">
        <f t="shared" si="34"/>
        <v>10.104760000000001</v>
      </c>
      <c r="AD30" s="338">
        <f t="shared" si="16"/>
        <v>10.615199923766815</v>
      </c>
      <c r="AE30" s="338">
        <f t="shared" si="35"/>
        <v>36.758361999999998</v>
      </c>
      <c r="AF30" s="499">
        <f t="shared" si="17"/>
        <v>51.266766020864381</v>
      </c>
      <c r="AG30" s="396">
        <v>2026</v>
      </c>
      <c r="AH30" s="391">
        <f t="shared" si="19"/>
        <v>2.0638622541090914</v>
      </c>
      <c r="AI30" s="391">
        <f t="shared" si="20"/>
        <v>4.1213866331536355</v>
      </c>
      <c r="AJ30" s="391">
        <f t="shared" si="21"/>
        <v>2.9146905026839924</v>
      </c>
      <c r="AK30" s="391">
        <f t="shared" si="22"/>
        <v>2.1790435759999998</v>
      </c>
      <c r="AL30" s="391">
        <f t="shared" si="23"/>
        <v>3.0268257610072542</v>
      </c>
      <c r="AM30" s="391">
        <f t="shared" si="24"/>
        <v>1.4015302120000002</v>
      </c>
      <c r="AN30" s="391">
        <f t="shared" si="25"/>
        <v>1.472328229426457</v>
      </c>
      <c r="AO30" s="391">
        <f t="shared" si="26"/>
        <v>10.196769618799999</v>
      </c>
      <c r="AP30" s="397">
        <f t="shared" si="27"/>
        <v>7.1107004470938904</v>
      </c>
      <c r="AQ30" s="10"/>
    </row>
    <row r="31" spans="1:53" x14ac:dyDescent="0.2">
      <c r="A31" s="806">
        <v>2027</v>
      </c>
      <c r="B31" s="338">
        <v>19.332518</v>
      </c>
      <c r="C31" s="338">
        <v>28.162009999999999</v>
      </c>
      <c r="D31" s="338">
        <v>22.300404</v>
      </c>
      <c r="E31" s="338">
        <v>15.739540999999999</v>
      </c>
      <c r="F31" s="338">
        <v>22.914766</v>
      </c>
      <c r="G31" s="338">
        <v>10.913876999999999</v>
      </c>
      <c r="H31" s="338">
        <v>12.143967999999999</v>
      </c>
      <c r="I31" s="338">
        <v>37.028300999999999</v>
      </c>
      <c r="J31" s="1154">
        <f t="shared" si="0"/>
        <v>50.372578241430702</v>
      </c>
      <c r="K31" s="396">
        <v>2027</v>
      </c>
      <c r="L31" s="391">
        <f t="shared" si="2"/>
        <v>2.6814202466000001</v>
      </c>
      <c r="M31" s="391">
        <f t="shared" si="3"/>
        <v>3.906070787</v>
      </c>
      <c r="N31" s="391">
        <f t="shared" si="4"/>
        <v>3.0930660348000001</v>
      </c>
      <c r="O31" s="391">
        <f t="shared" si="5"/>
        <v>2.1830743366999998</v>
      </c>
      <c r="P31" s="391">
        <f t="shared" si="6"/>
        <v>3.1782780441999998</v>
      </c>
      <c r="Q31" s="391">
        <f t="shared" si="7"/>
        <v>1.5137547399</v>
      </c>
      <c r="R31" s="391">
        <f t="shared" si="8"/>
        <v>1.6843683616</v>
      </c>
      <c r="S31" s="391">
        <f t="shared" si="9"/>
        <v>10.2716506974</v>
      </c>
      <c r="T31" s="397">
        <f t="shared" si="10"/>
        <v>6.9866766020864386</v>
      </c>
      <c r="U31" s="1218">
        <f>'S-curves'!AN16</f>
        <v>2</v>
      </c>
      <c r="W31" s="806">
        <v>2027</v>
      </c>
      <c r="X31" s="338">
        <f t="shared" si="12"/>
        <v>15.141552559440562</v>
      </c>
      <c r="Y31" s="338">
        <f t="shared" si="13"/>
        <v>29.954137909090903</v>
      </c>
      <c r="Z31" s="338">
        <f t="shared" si="14"/>
        <v>21.270691712482421</v>
      </c>
      <c r="AA31" s="338">
        <f t="shared" si="33"/>
        <v>15.739540999999999</v>
      </c>
      <c r="AB31" s="338">
        <f t="shared" si="15"/>
        <v>21.877697382026568</v>
      </c>
      <c r="AC31" s="338">
        <f t="shared" si="34"/>
        <v>10.913876999999999</v>
      </c>
      <c r="AD31" s="338">
        <f t="shared" si="16"/>
        <v>10.510250331838563</v>
      </c>
      <c r="AE31" s="338">
        <f t="shared" si="35"/>
        <v>37.028300999999999</v>
      </c>
      <c r="AF31" s="499">
        <f t="shared" si="17"/>
        <v>50.372578241430702</v>
      </c>
      <c r="AG31" s="396">
        <v>2027</v>
      </c>
      <c r="AH31" s="391">
        <f t="shared" si="19"/>
        <v>2.100133339994406</v>
      </c>
      <c r="AI31" s="391">
        <f t="shared" si="20"/>
        <v>4.1546389279909084</v>
      </c>
      <c r="AJ31" s="391">
        <f t="shared" si="21"/>
        <v>2.950244940521312</v>
      </c>
      <c r="AK31" s="391">
        <f t="shared" si="22"/>
        <v>2.1830743366999998</v>
      </c>
      <c r="AL31" s="391">
        <f t="shared" si="23"/>
        <v>3.0344366268870848</v>
      </c>
      <c r="AM31" s="391">
        <f t="shared" si="24"/>
        <v>1.5137547399</v>
      </c>
      <c r="AN31" s="391">
        <f t="shared" si="25"/>
        <v>1.4577717210260088</v>
      </c>
      <c r="AO31" s="391">
        <f t="shared" si="26"/>
        <v>10.2716506974</v>
      </c>
      <c r="AP31" s="397">
        <f t="shared" si="27"/>
        <v>6.9866766020864386</v>
      </c>
      <c r="AQ31" s="10"/>
    </row>
    <row r="32" spans="1:53" x14ac:dyDescent="0.2">
      <c r="A32" s="806">
        <v>2028</v>
      </c>
      <c r="B32" s="338">
        <v>19.533010000000001</v>
      </c>
      <c r="C32" s="338">
        <v>28.425083000000001</v>
      </c>
      <c r="D32" s="338">
        <v>22.412120999999999</v>
      </c>
      <c r="E32" s="338">
        <v>16.214652999999998</v>
      </c>
      <c r="F32" s="338">
        <v>23.266224000000001</v>
      </c>
      <c r="G32" s="338">
        <v>11.290391</v>
      </c>
      <c r="H32" s="338">
        <v>11.942882000000001</v>
      </c>
      <c r="I32" s="338">
        <v>36.980328</v>
      </c>
      <c r="J32" s="1154">
        <f t="shared" si="0"/>
        <v>49.478390461997016</v>
      </c>
      <c r="K32" s="396">
        <v>2028</v>
      </c>
      <c r="L32" s="391">
        <f t="shared" si="2"/>
        <v>2.7092284870000003</v>
      </c>
      <c r="M32" s="391">
        <f t="shared" si="3"/>
        <v>3.9425590120999998</v>
      </c>
      <c r="N32" s="391">
        <f t="shared" si="4"/>
        <v>3.1085611826999999</v>
      </c>
      <c r="O32" s="391">
        <f t="shared" si="5"/>
        <v>2.2489723710999998</v>
      </c>
      <c r="P32" s="391">
        <f t="shared" si="6"/>
        <v>3.2270252688000003</v>
      </c>
      <c r="Q32" s="391">
        <f t="shared" si="7"/>
        <v>1.5659772316999998</v>
      </c>
      <c r="R32" s="391">
        <f t="shared" si="8"/>
        <v>1.6564777334</v>
      </c>
      <c r="S32" s="391">
        <f t="shared" si="9"/>
        <v>10.258342987199999</v>
      </c>
      <c r="T32" s="397">
        <f t="shared" si="10"/>
        <v>6.8626527570789859</v>
      </c>
      <c r="U32" s="1218">
        <f>'S-curves'!AN17</f>
        <v>2</v>
      </c>
      <c r="W32" s="806">
        <v>2028</v>
      </c>
      <c r="X32" s="338">
        <f t="shared" si="12"/>
        <v>15.298581258741262</v>
      </c>
      <c r="Y32" s="338">
        <f t="shared" si="13"/>
        <v>30.233951918181816</v>
      </c>
      <c r="Z32" s="338">
        <f t="shared" si="14"/>
        <v>21.377250224428813</v>
      </c>
      <c r="AA32" s="338">
        <f t="shared" si="33"/>
        <v>16.214652999999998</v>
      </c>
      <c r="AB32" s="338">
        <f t="shared" si="15"/>
        <v>22.213249216441646</v>
      </c>
      <c r="AC32" s="338">
        <f t="shared" si="34"/>
        <v>11.290391</v>
      </c>
      <c r="AD32" s="338">
        <f t="shared" si="16"/>
        <v>10.336216260089687</v>
      </c>
      <c r="AE32" s="338">
        <f t="shared" si="35"/>
        <v>36.980328</v>
      </c>
      <c r="AF32" s="499">
        <f t="shared" si="17"/>
        <v>49.478390461997016</v>
      </c>
      <c r="AG32" s="396">
        <v>2028</v>
      </c>
      <c r="AH32" s="391">
        <f t="shared" si="19"/>
        <v>2.1219132205874129</v>
      </c>
      <c r="AI32" s="391">
        <f t="shared" si="20"/>
        <v>4.1934491310518176</v>
      </c>
      <c r="AJ32" s="391">
        <f t="shared" si="21"/>
        <v>2.9650246061282761</v>
      </c>
      <c r="AK32" s="391">
        <f t="shared" si="22"/>
        <v>2.2489723710999998</v>
      </c>
      <c r="AL32" s="391">
        <f t="shared" si="23"/>
        <v>3.080977666320456</v>
      </c>
      <c r="AM32" s="391">
        <f t="shared" si="24"/>
        <v>1.5659772316999998</v>
      </c>
      <c r="AN32" s="391">
        <f t="shared" si="25"/>
        <v>1.4336331952744397</v>
      </c>
      <c r="AO32" s="391">
        <f t="shared" si="26"/>
        <v>10.258342987199999</v>
      </c>
      <c r="AP32" s="397">
        <f t="shared" si="27"/>
        <v>6.8626527570789859</v>
      </c>
      <c r="AQ32" s="10"/>
    </row>
    <row r="33" spans="1:43" x14ac:dyDescent="0.2">
      <c r="A33" s="806">
        <v>2029</v>
      </c>
      <c r="B33" s="338">
        <v>19.624012</v>
      </c>
      <c r="C33" s="338">
        <v>28.713608000000001</v>
      </c>
      <c r="D33" s="338">
        <v>22.707564999999999</v>
      </c>
      <c r="E33" s="338">
        <v>16.425370999999998</v>
      </c>
      <c r="F33" s="338">
        <v>23.483311</v>
      </c>
      <c r="G33" s="338">
        <v>11.574986000000001</v>
      </c>
      <c r="H33" s="338">
        <v>11.674177</v>
      </c>
      <c r="I33" s="338">
        <v>36.851902000000003</v>
      </c>
      <c r="J33" s="1154">
        <f t="shared" si="0"/>
        <v>48.584202682563337</v>
      </c>
      <c r="K33" s="396">
        <v>2029</v>
      </c>
      <c r="L33" s="391">
        <f t="shared" si="2"/>
        <v>2.7218504644000001</v>
      </c>
      <c r="M33" s="391">
        <f t="shared" si="3"/>
        <v>3.9825774296000001</v>
      </c>
      <c r="N33" s="391">
        <f t="shared" si="4"/>
        <v>3.1495392654999996</v>
      </c>
      <c r="O33" s="391">
        <f t="shared" si="5"/>
        <v>2.2781989576999995</v>
      </c>
      <c r="P33" s="391">
        <f t="shared" si="6"/>
        <v>3.2571352357000003</v>
      </c>
      <c r="Q33" s="391">
        <f t="shared" si="7"/>
        <v>1.6054505582</v>
      </c>
      <c r="R33" s="391">
        <f t="shared" si="8"/>
        <v>1.6192083499000001</v>
      </c>
      <c r="S33" s="391">
        <f t="shared" si="9"/>
        <v>10.222717614800001</v>
      </c>
      <c r="T33" s="397">
        <f t="shared" si="10"/>
        <v>6.7386289120715341</v>
      </c>
      <c r="U33" s="1218">
        <f>'S-curves'!AN18</f>
        <v>2</v>
      </c>
      <c r="W33" s="806">
        <v>2029</v>
      </c>
      <c r="X33" s="338">
        <f t="shared" si="12"/>
        <v>15.369855552447556</v>
      </c>
      <c r="Y33" s="338">
        <f t="shared" si="13"/>
        <v>30.540837599999996</v>
      </c>
      <c r="Z33" s="338">
        <f t="shared" si="14"/>
        <v>21.659052215204525</v>
      </c>
      <c r="AA33" s="338">
        <f t="shared" si="33"/>
        <v>16.425370999999998</v>
      </c>
      <c r="AB33" s="338">
        <f t="shared" si="15"/>
        <v>22.42051136747439</v>
      </c>
      <c r="AC33" s="338">
        <f t="shared" si="34"/>
        <v>11.574986000000001</v>
      </c>
      <c r="AD33" s="338">
        <f t="shared" si="16"/>
        <v>10.103659914798206</v>
      </c>
      <c r="AE33" s="338">
        <f t="shared" si="35"/>
        <v>36.851902000000003</v>
      </c>
      <c r="AF33" s="499">
        <f t="shared" si="17"/>
        <v>48.584202682563337</v>
      </c>
      <c r="AG33" s="396">
        <v>2029</v>
      </c>
      <c r="AH33" s="391">
        <f t="shared" si="19"/>
        <v>2.1317989651244758</v>
      </c>
      <c r="AI33" s="391">
        <f t="shared" si="20"/>
        <v>4.2360141751200002</v>
      </c>
      <c r="AJ33" s="391">
        <f t="shared" si="21"/>
        <v>3.0041105422488674</v>
      </c>
      <c r="AK33" s="391">
        <f t="shared" si="22"/>
        <v>2.2781989576999995</v>
      </c>
      <c r="AL33" s="391">
        <f t="shared" si="23"/>
        <v>3.1097249266686982</v>
      </c>
      <c r="AM33" s="391">
        <f t="shared" si="24"/>
        <v>1.6054505582</v>
      </c>
      <c r="AN33" s="391">
        <f t="shared" si="25"/>
        <v>1.4013776301825112</v>
      </c>
      <c r="AO33" s="391">
        <f t="shared" si="26"/>
        <v>10.222717614800001</v>
      </c>
      <c r="AP33" s="397">
        <f t="shared" si="27"/>
        <v>6.7386289120715341</v>
      </c>
      <c r="AQ33" s="10"/>
    </row>
    <row r="34" spans="1:43" x14ac:dyDescent="0.2">
      <c r="A34" s="807">
        <v>2030</v>
      </c>
      <c r="B34" s="338">
        <v>20.097501999999999</v>
      </c>
      <c r="C34" s="338">
        <v>30.057896</v>
      </c>
      <c r="D34" s="338">
        <v>23.410488000000001</v>
      </c>
      <c r="E34" s="338">
        <v>16.664819999999999</v>
      </c>
      <c r="F34" s="338">
        <v>23.973053</v>
      </c>
      <c r="G34" s="338">
        <v>11.016311</v>
      </c>
      <c r="H34" s="338">
        <v>12.097020000000001</v>
      </c>
      <c r="I34" s="338">
        <v>36.703060000000001</v>
      </c>
      <c r="J34" s="1154">
        <f t="shared" si="0"/>
        <v>47.690014903129651</v>
      </c>
      <c r="K34" s="398">
        <v>2030</v>
      </c>
      <c r="L34" s="392">
        <f t="shared" si="2"/>
        <v>2.7875235273999999</v>
      </c>
      <c r="M34" s="392">
        <f t="shared" si="3"/>
        <v>4.1690301751999996</v>
      </c>
      <c r="N34" s="392">
        <f t="shared" si="4"/>
        <v>3.2470346856000001</v>
      </c>
      <c r="O34" s="392">
        <f t="shared" si="5"/>
        <v>2.3114105340000002</v>
      </c>
      <c r="P34" s="392">
        <f t="shared" si="6"/>
        <v>3.3250624511</v>
      </c>
      <c r="Q34" s="392">
        <f t="shared" si="7"/>
        <v>1.5279623356999998</v>
      </c>
      <c r="R34" s="392">
        <f t="shared" si="8"/>
        <v>1.677856674</v>
      </c>
      <c r="S34" s="392">
        <f t="shared" si="9"/>
        <v>10.181428844000001</v>
      </c>
      <c r="T34" s="399">
        <f t="shared" si="10"/>
        <v>6.6146050670640824</v>
      </c>
      <c r="U34" s="1218">
        <f>'S-curves'!AN19</f>
        <v>2</v>
      </c>
      <c r="W34" s="807">
        <v>2030</v>
      </c>
      <c r="X34" s="338">
        <f t="shared" si="12"/>
        <v>15.740700867132869</v>
      </c>
      <c r="Y34" s="338">
        <f t="shared" si="13"/>
        <v>31.970671199999995</v>
      </c>
      <c r="Z34" s="338">
        <f t="shared" si="14"/>
        <v>22.329518025178789</v>
      </c>
      <c r="AA34" s="338">
        <f t="shared" si="33"/>
        <v>16.664819999999999</v>
      </c>
      <c r="AB34" s="338">
        <f t="shared" si="15"/>
        <v>22.888088792060287</v>
      </c>
      <c r="AC34" s="338">
        <f t="shared" si="34"/>
        <v>11.016311</v>
      </c>
      <c r="AD34" s="338">
        <f t="shared" si="16"/>
        <v>10.469618206278026</v>
      </c>
      <c r="AE34" s="338">
        <f t="shared" si="35"/>
        <v>36.703060000000001</v>
      </c>
      <c r="AF34" s="499">
        <f t="shared" si="17"/>
        <v>47.690014903129651</v>
      </c>
      <c r="AG34" s="398">
        <v>2030</v>
      </c>
      <c r="AH34" s="392">
        <f t="shared" si="19"/>
        <v>2.1832352102713291</v>
      </c>
      <c r="AI34" s="392">
        <f t="shared" si="20"/>
        <v>4.4343320954399994</v>
      </c>
      <c r="AJ34" s="392">
        <f t="shared" si="21"/>
        <v>3.097104150092298</v>
      </c>
      <c r="AK34" s="392">
        <f t="shared" si="22"/>
        <v>2.3114105340000002</v>
      </c>
      <c r="AL34" s="392">
        <f t="shared" si="23"/>
        <v>3.1745779154587619</v>
      </c>
      <c r="AM34" s="392">
        <f t="shared" si="24"/>
        <v>1.5279623356999998</v>
      </c>
      <c r="AN34" s="392">
        <f t="shared" si="25"/>
        <v>1.4521360452107621</v>
      </c>
      <c r="AO34" s="392">
        <f t="shared" si="26"/>
        <v>10.181428844000001</v>
      </c>
      <c r="AP34" s="399">
        <f t="shared" si="27"/>
        <v>6.6146050670640824</v>
      </c>
      <c r="AQ34" s="10"/>
    </row>
    <row r="35" spans="1:43" x14ac:dyDescent="0.2">
      <c r="A35" s="806">
        <v>2031</v>
      </c>
      <c r="B35" s="338">
        <v>20.105340999999999</v>
      </c>
      <c r="C35" s="338">
        <v>30.388204999999999</v>
      </c>
      <c r="D35" s="338">
        <v>23.573322000000001</v>
      </c>
      <c r="E35" s="338">
        <v>17.012841999999999</v>
      </c>
      <c r="F35" s="338">
        <v>24.241781</v>
      </c>
      <c r="G35" s="338">
        <v>11.238101</v>
      </c>
      <c r="H35" s="338">
        <v>11.824804</v>
      </c>
      <c r="I35" s="338">
        <v>36.648471999999998</v>
      </c>
      <c r="J35" s="1154">
        <f t="shared" si="0"/>
        <v>46.795827123695972</v>
      </c>
      <c r="K35" s="396">
        <v>2031</v>
      </c>
      <c r="L35" s="391">
        <f t="shared" si="2"/>
        <v>2.7886107967</v>
      </c>
      <c r="M35" s="391">
        <f t="shared" si="3"/>
        <v>4.2148440334999995</v>
      </c>
      <c r="N35" s="391">
        <f t="shared" si="4"/>
        <v>3.2696197614</v>
      </c>
      <c r="O35" s="391">
        <f t="shared" si="5"/>
        <v>2.3596811853999999</v>
      </c>
      <c r="P35" s="391">
        <f t="shared" si="6"/>
        <v>3.3623350247000001</v>
      </c>
      <c r="Q35" s="391">
        <f t="shared" si="7"/>
        <v>1.5587246087</v>
      </c>
      <c r="R35" s="391">
        <f t="shared" si="8"/>
        <v>1.6401003148</v>
      </c>
      <c r="S35" s="391">
        <f t="shared" si="9"/>
        <v>10.1662861328</v>
      </c>
      <c r="T35" s="397">
        <f t="shared" si="10"/>
        <v>6.4905812220566306</v>
      </c>
      <c r="U35" s="1218">
        <f>'S-curves'!AN20</f>
        <v>2</v>
      </c>
      <c r="W35" s="806">
        <v>2031</v>
      </c>
      <c r="X35" s="338">
        <f t="shared" si="12"/>
        <v>15.746840503496506</v>
      </c>
      <c r="Y35" s="338">
        <f t="shared" si="13"/>
        <v>32.321999863636357</v>
      </c>
      <c r="Z35" s="338">
        <f t="shared" si="14"/>
        <v>22.484833229975543</v>
      </c>
      <c r="AA35" s="338">
        <f t="shared" si="33"/>
        <v>17.012841999999999</v>
      </c>
      <c r="AB35" s="338">
        <f t="shared" si="15"/>
        <v>23.144654792432153</v>
      </c>
      <c r="AC35" s="338">
        <f t="shared" si="34"/>
        <v>11.238101</v>
      </c>
      <c r="AD35" s="338">
        <f t="shared" si="16"/>
        <v>10.234023192825111</v>
      </c>
      <c r="AE35" s="338">
        <f t="shared" si="35"/>
        <v>36.648471999999998</v>
      </c>
      <c r="AF35" s="499">
        <f t="shared" si="17"/>
        <v>46.795827123695972</v>
      </c>
      <c r="AG35" s="396">
        <v>2031</v>
      </c>
      <c r="AH35" s="391">
        <f t="shared" si="19"/>
        <v>2.1840867778349655</v>
      </c>
      <c r="AI35" s="391">
        <f t="shared" si="20"/>
        <v>4.4830613810863627</v>
      </c>
      <c r="AJ35" s="391">
        <f t="shared" si="21"/>
        <v>3.1186463689976081</v>
      </c>
      <c r="AK35" s="391">
        <f t="shared" si="22"/>
        <v>2.3596811853999999</v>
      </c>
      <c r="AL35" s="391">
        <f t="shared" si="23"/>
        <v>3.2101636197103396</v>
      </c>
      <c r="AM35" s="391">
        <f t="shared" si="24"/>
        <v>1.5587246087</v>
      </c>
      <c r="AN35" s="391">
        <f t="shared" si="25"/>
        <v>1.4194590168448429</v>
      </c>
      <c r="AO35" s="391">
        <f t="shared" si="26"/>
        <v>10.1662861328</v>
      </c>
      <c r="AP35" s="397">
        <f t="shared" si="27"/>
        <v>6.4905812220566306</v>
      </c>
      <c r="AQ35" s="10"/>
    </row>
    <row r="36" spans="1:43" x14ac:dyDescent="0.2">
      <c r="A36" s="806">
        <v>2032</v>
      </c>
      <c r="B36" s="338">
        <v>20.179995000000002</v>
      </c>
      <c r="C36" s="338">
        <v>30.548780000000001</v>
      </c>
      <c r="D36" s="338">
        <v>23.781666000000001</v>
      </c>
      <c r="E36" s="338">
        <v>17.187419999999999</v>
      </c>
      <c r="F36" s="338">
        <v>24.417619999999999</v>
      </c>
      <c r="G36" s="338">
        <v>11.303734</v>
      </c>
      <c r="H36" s="338">
        <v>11.655065</v>
      </c>
      <c r="I36" s="338">
        <v>36.629832999999998</v>
      </c>
      <c r="J36" s="1154">
        <f t="shared" si="0"/>
        <v>45.901639344262293</v>
      </c>
      <c r="K36" s="396">
        <v>2032</v>
      </c>
      <c r="L36" s="391">
        <f t="shared" si="2"/>
        <v>2.7989653065000004</v>
      </c>
      <c r="M36" s="391">
        <f t="shared" si="3"/>
        <v>4.2371157860000004</v>
      </c>
      <c r="N36" s="391">
        <f t="shared" si="4"/>
        <v>3.2985170742000003</v>
      </c>
      <c r="O36" s="391">
        <f t="shared" si="5"/>
        <v>2.3838951540000002</v>
      </c>
      <c r="P36" s="391">
        <f t="shared" si="6"/>
        <v>3.3867238939999997</v>
      </c>
      <c r="Q36" s="391">
        <f t="shared" si="7"/>
        <v>1.5678279058</v>
      </c>
      <c r="R36" s="391">
        <f t="shared" si="8"/>
        <v>1.6165575155</v>
      </c>
      <c r="S36" s="391">
        <f t="shared" si="9"/>
        <v>10.1611156742</v>
      </c>
      <c r="T36" s="397">
        <f t="shared" si="10"/>
        <v>6.3665573770491797</v>
      </c>
      <c r="U36" s="1218">
        <f>'S-curves'!AN21</f>
        <v>2</v>
      </c>
      <c r="W36" s="806">
        <v>2032</v>
      </c>
      <c r="X36" s="338">
        <f t="shared" si="12"/>
        <v>15.805310769230774</v>
      </c>
      <c r="Y36" s="338">
        <f t="shared" si="13"/>
        <v>32.492793272727269</v>
      </c>
      <c r="Z36" s="338">
        <f t="shared" si="14"/>
        <v>22.683557028618182</v>
      </c>
      <c r="AA36" s="338">
        <f t="shared" si="33"/>
        <v>17.187419999999999</v>
      </c>
      <c r="AB36" s="338">
        <f t="shared" si="15"/>
        <v>23.31253573129743</v>
      </c>
      <c r="AC36" s="338">
        <f t="shared" si="34"/>
        <v>11.303734</v>
      </c>
      <c r="AD36" s="338">
        <f t="shared" si="16"/>
        <v>10.087119035874439</v>
      </c>
      <c r="AE36" s="338">
        <f t="shared" si="35"/>
        <v>36.629832999999998</v>
      </c>
      <c r="AF36" s="499">
        <f t="shared" si="17"/>
        <v>45.901639344262293</v>
      </c>
      <c r="AG36" s="396">
        <v>2032</v>
      </c>
      <c r="AH36" s="391">
        <f t="shared" si="19"/>
        <v>2.1921966036923086</v>
      </c>
      <c r="AI36" s="391">
        <f t="shared" si="20"/>
        <v>4.5067504269272725</v>
      </c>
      <c r="AJ36" s="391">
        <f t="shared" si="21"/>
        <v>3.1462093598693417</v>
      </c>
      <c r="AK36" s="391">
        <f t="shared" si="22"/>
        <v>2.3838951540000002</v>
      </c>
      <c r="AL36" s="391">
        <f t="shared" si="23"/>
        <v>3.2334487059309533</v>
      </c>
      <c r="AM36" s="391">
        <f t="shared" si="24"/>
        <v>1.5678279058</v>
      </c>
      <c r="AN36" s="391">
        <f t="shared" si="25"/>
        <v>1.3990834102757848</v>
      </c>
      <c r="AO36" s="391">
        <f t="shared" si="26"/>
        <v>10.1611156742</v>
      </c>
      <c r="AP36" s="397">
        <f t="shared" si="27"/>
        <v>6.3665573770491797</v>
      </c>
      <c r="AQ36" s="10"/>
    </row>
    <row r="37" spans="1:43" x14ac:dyDescent="0.2">
      <c r="A37" s="806">
        <v>2033</v>
      </c>
      <c r="B37" s="338">
        <v>20.495128999999999</v>
      </c>
      <c r="C37" s="338">
        <v>31.208534</v>
      </c>
      <c r="D37" s="338">
        <v>24.204405000000001</v>
      </c>
      <c r="E37" s="338">
        <v>17.583839000000001</v>
      </c>
      <c r="F37" s="338">
        <v>24.810473999999999</v>
      </c>
      <c r="G37" s="338">
        <v>11.559741000000001</v>
      </c>
      <c r="H37" s="338">
        <v>11.651948000000001</v>
      </c>
      <c r="I37" s="338">
        <v>36.830044000000001</v>
      </c>
      <c r="J37" s="1154">
        <f t="shared" si="0"/>
        <v>45.007451564828607</v>
      </c>
      <c r="K37" s="396">
        <v>2033</v>
      </c>
      <c r="L37" s="391">
        <f t="shared" si="2"/>
        <v>2.8426743922999997</v>
      </c>
      <c r="M37" s="391">
        <f t="shared" si="3"/>
        <v>4.3286236657999995</v>
      </c>
      <c r="N37" s="391">
        <f t="shared" si="4"/>
        <v>3.3571509735000005</v>
      </c>
      <c r="O37" s="391">
        <f t="shared" si="5"/>
        <v>2.4388784693000001</v>
      </c>
      <c r="P37" s="391">
        <f t="shared" si="6"/>
        <v>3.4412127438</v>
      </c>
      <c r="Q37" s="391">
        <f t="shared" si="7"/>
        <v>1.6033360767</v>
      </c>
      <c r="R37" s="391">
        <f t="shared" si="8"/>
        <v>1.6161251876</v>
      </c>
      <c r="S37" s="391">
        <f t="shared" si="9"/>
        <v>10.216654205600001</v>
      </c>
      <c r="T37" s="397">
        <f t="shared" si="10"/>
        <v>6.2425335320417279</v>
      </c>
      <c r="U37" s="1218">
        <f>'S-curves'!AN22</f>
        <v>2</v>
      </c>
      <c r="W37" s="806">
        <v>2033</v>
      </c>
      <c r="X37" s="338">
        <f t="shared" si="12"/>
        <v>16.05212900699301</v>
      </c>
      <c r="Y37" s="338">
        <f t="shared" si="13"/>
        <v>33.194531618181813</v>
      </c>
      <c r="Z37" s="338">
        <f t="shared" si="14"/>
        <v>23.086776223384476</v>
      </c>
      <c r="AA37" s="338">
        <f t="shared" si="33"/>
        <v>17.583839000000001</v>
      </c>
      <c r="AB37" s="338">
        <f t="shared" si="15"/>
        <v>23.687610079746754</v>
      </c>
      <c r="AC37" s="338">
        <f t="shared" si="34"/>
        <v>11.559741000000001</v>
      </c>
      <c r="AD37" s="338">
        <f t="shared" si="16"/>
        <v>10.084421363228699</v>
      </c>
      <c r="AE37" s="338">
        <f t="shared" si="35"/>
        <v>36.830044000000001</v>
      </c>
      <c r="AF37" s="499">
        <f t="shared" si="17"/>
        <v>45.007451564828607</v>
      </c>
      <c r="AG37" s="396">
        <v>2033</v>
      </c>
      <c r="AH37" s="391">
        <f t="shared" si="19"/>
        <v>2.2264302932699302</v>
      </c>
      <c r="AI37" s="391">
        <f t="shared" si="20"/>
        <v>4.6040815354418179</v>
      </c>
      <c r="AJ37" s="391">
        <f t="shared" si="21"/>
        <v>3.2021358621834271</v>
      </c>
      <c r="AK37" s="391">
        <f t="shared" si="22"/>
        <v>2.4388784693000001</v>
      </c>
      <c r="AL37" s="391">
        <f t="shared" si="23"/>
        <v>3.2854715180608745</v>
      </c>
      <c r="AM37" s="391">
        <f t="shared" si="24"/>
        <v>1.6033360767</v>
      </c>
      <c r="AN37" s="391">
        <f t="shared" si="25"/>
        <v>1.3987092430798207</v>
      </c>
      <c r="AO37" s="391">
        <f t="shared" si="26"/>
        <v>10.216654205600001</v>
      </c>
      <c r="AP37" s="397">
        <f t="shared" si="27"/>
        <v>6.2425335320417279</v>
      </c>
      <c r="AQ37" s="10"/>
    </row>
    <row r="38" spans="1:43" x14ac:dyDescent="0.2">
      <c r="A38" s="806">
        <v>2034</v>
      </c>
      <c r="B38" s="338">
        <v>20.705454</v>
      </c>
      <c r="C38" s="338">
        <v>31.695506999999999</v>
      </c>
      <c r="D38" s="338">
        <v>24.592258000000001</v>
      </c>
      <c r="E38" s="338">
        <v>17.868292</v>
      </c>
      <c r="F38" s="338">
        <v>25.010679</v>
      </c>
      <c r="G38" s="338">
        <v>11.693218</v>
      </c>
      <c r="H38" s="338">
        <v>11.562685999999999</v>
      </c>
      <c r="I38" s="338">
        <v>36.911639999999998</v>
      </c>
      <c r="J38" s="1154">
        <f t="shared" si="0"/>
        <v>44.113263785394928</v>
      </c>
      <c r="K38" s="396">
        <v>2034</v>
      </c>
      <c r="L38" s="391">
        <f t="shared" si="2"/>
        <v>2.8718464697999999</v>
      </c>
      <c r="M38" s="391">
        <f t="shared" si="3"/>
        <v>4.3961668208999995</v>
      </c>
      <c r="N38" s="391">
        <f t="shared" si="4"/>
        <v>3.4109461846000002</v>
      </c>
      <c r="O38" s="391">
        <f t="shared" si="5"/>
        <v>2.4783321003999998</v>
      </c>
      <c r="P38" s="391">
        <f t="shared" si="6"/>
        <v>3.4689811772999999</v>
      </c>
      <c r="Q38" s="391">
        <f t="shared" si="7"/>
        <v>1.6218493366</v>
      </c>
      <c r="R38" s="391">
        <f t="shared" si="8"/>
        <v>1.6037445481999999</v>
      </c>
      <c r="S38" s="391">
        <f t="shared" si="9"/>
        <v>10.239288935999999</v>
      </c>
      <c r="T38" s="397">
        <f t="shared" si="10"/>
        <v>6.1185096870342761</v>
      </c>
      <c r="U38" s="1218">
        <f>'S-curves'!AN23</f>
        <v>2</v>
      </c>
      <c r="W38" s="806">
        <v>2034</v>
      </c>
      <c r="X38" s="338">
        <f t="shared" si="12"/>
        <v>16.216859076923079</v>
      </c>
      <c r="Y38" s="338">
        <f t="shared" si="13"/>
        <v>33.712493809090901</v>
      </c>
      <c r="Z38" s="338">
        <f t="shared" si="14"/>
        <v>23.456720265329253</v>
      </c>
      <c r="AA38" s="338">
        <f t="shared" si="33"/>
        <v>17.868292</v>
      </c>
      <c r="AB38" s="338">
        <f t="shared" si="15"/>
        <v>23.878754270543578</v>
      </c>
      <c r="AC38" s="338">
        <f t="shared" si="34"/>
        <v>11.693218</v>
      </c>
      <c r="AD38" s="338">
        <f t="shared" si="16"/>
        <v>10.007167704035874</v>
      </c>
      <c r="AE38" s="338">
        <f t="shared" si="35"/>
        <v>36.911639999999998</v>
      </c>
      <c r="AF38" s="499">
        <f t="shared" si="17"/>
        <v>44.113263785394928</v>
      </c>
      <c r="AG38" s="396">
        <v>2034</v>
      </c>
      <c r="AH38" s="391">
        <f t="shared" si="19"/>
        <v>2.2492783539692311</v>
      </c>
      <c r="AI38" s="391">
        <f t="shared" si="20"/>
        <v>4.6759228913209085</v>
      </c>
      <c r="AJ38" s="391">
        <f t="shared" si="21"/>
        <v>3.2534471008011674</v>
      </c>
      <c r="AK38" s="391">
        <f t="shared" si="22"/>
        <v>2.4783321003999998</v>
      </c>
      <c r="AL38" s="391">
        <f t="shared" si="23"/>
        <v>3.3119832173243942</v>
      </c>
      <c r="AM38" s="391">
        <f t="shared" si="24"/>
        <v>1.6218493366</v>
      </c>
      <c r="AN38" s="391">
        <f t="shared" si="25"/>
        <v>1.3879941605497756</v>
      </c>
      <c r="AO38" s="391">
        <f t="shared" si="26"/>
        <v>10.239288935999999</v>
      </c>
      <c r="AP38" s="397">
        <f t="shared" si="27"/>
        <v>6.1185096870342761</v>
      </c>
      <c r="AQ38" s="10"/>
    </row>
    <row r="39" spans="1:43" x14ac:dyDescent="0.2">
      <c r="A39" s="807">
        <v>2035</v>
      </c>
      <c r="B39" s="338">
        <v>20.923535999999999</v>
      </c>
      <c r="C39" s="338">
        <v>32.776066</v>
      </c>
      <c r="D39" s="338">
        <v>24.848427000000001</v>
      </c>
      <c r="E39" s="338">
        <v>18.138349999999999</v>
      </c>
      <c r="F39" s="338">
        <v>25.234774000000002</v>
      </c>
      <c r="G39" s="338">
        <v>12.392016999999999</v>
      </c>
      <c r="H39" s="338">
        <v>11.455206</v>
      </c>
      <c r="I39" s="338">
        <v>36.571807999999997</v>
      </c>
      <c r="J39" s="1154">
        <f t="shared" si="0"/>
        <v>43.219076005961242</v>
      </c>
      <c r="K39" s="398">
        <v>2035</v>
      </c>
      <c r="L39" s="392">
        <f t="shared" si="2"/>
        <v>2.9020944431999998</v>
      </c>
      <c r="M39" s="392">
        <f t="shared" si="3"/>
        <v>4.5460403541999996</v>
      </c>
      <c r="N39" s="392">
        <f t="shared" si="4"/>
        <v>3.4464768249000004</v>
      </c>
      <c r="O39" s="392">
        <f t="shared" si="5"/>
        <v>2.5157891449999998</v>
      </c>
      <c r="P39" s="392">
        <f t="shared" si="6"/>
        <v>3.5000631538000002</v>
      </c>
      <c r="Q39" s="392">
        <f t="shared" si="7"/>
        <v>1.7187727578999998</v>
      </c>
      <c r="R39" s="392">
        <f t="shared" si="8"/>
        <v>1.5888370722</v>
      </c>
      <c r="S39" s="392">
        <f t="shared" si="9"/>
        <v>10.145019539199998</v>
      </c>
      <c r="T39" s="399">
        <f t="shared" si="10"/>
        <v>5.9944858420268243</v>
      </c>
      <c r="U39" s="1218">
        <f>'S-curves'!AN24</f>
        <v>2</v>
      </c>
      <c r="W39" s="807">
        <v>2035</v>
      </c>
      <c r="X39" s="338">
        <f t="shared" si="12"/>
        <v>16.387664559440562</v>
      </c>
      <c r="Y39" s="338">
        <f t="shared" si="13"/>
        <v>34.861815654545453</v>
      </c>
      <c r="Z39" s="338">
        <f t="shared" si="14"/>
        <v>23.70106076361327</v>
      </c>
      <c r="AA39" s="338">
        <f t="shared" si="33"/>
        <v>18.138349999999999</v>
      </c>
      <c r="AB39" s="338">
        <f t="shared" si="15"/>
        <v>24.092707255916647</v>
      </c>
      <c r="AC39" s="338">
        <f t="shared" si="34"/>
        <v>12.392016999999999</v>
      </c>
      <c r="AD39" s="338">
        <f t="shared" si="16"/>
        <v>9.914146896860986</v>
      </c>
      <c r="AE39" s="338">
        <f t="shared" si="35"/>
        <v>36.571807999999997</v>
      </c>
      <c r="AF39" s="499">
        <f t="shared" si="17"/>
        <v>43.219076005961242</v>
      </c>
      <c r="AG39" s="398">
        <v>2035</v>
      </c>
      <c r="AH39" s="392">
        <f t="shared" si="19"/>
        <v>2.272969074394406</v>
      </c>
      <c r="AI39" s="392">
        <f t="shared" si="20"/>
        <v>4.8353338312854541</v>
      </c>
      <c r="AJ39" s="392">
        <f t="shared" si="21"/>
        <v>3.2873371279131609</v>
      </c>
      <c r="AK39" s="392">
        <f t="shared" si="22"/>
        <v>2.5157891449999998</v>
      </c>
      <c r="AL39" s="392">
        <f t="shared" si="23"/>
        <v>3.3416584963956391</v>
      </c>
      <c r="AM39" s="392">
        <f t="shared" si="24"/>
        <v>1.7187727578999998</v>
      </c>
      <c r="AN39" s="392">
        <f t="shared" si="25"/>
        <v>1.3750921745946187</v>
      </c>
      <c r="AO39" s="392">
        <f t="shared" si="26"/>
        <v>10.145019539199998</v>
      </c>
      <c r="AP39" s="399">
        <f t="shared" si="27"/>
        <v>5.9944858420268243</v>
      </c>
      <c r="AQ39" s="10"/>
    </row>
    <row r="40" spans="1:43" x14ac:dyDescent="0.2">
      <c r="A40" s="806">
        <v>2036</v>
      </c>
      <c r="B40" s="338">
        <v>21.173369999999998</v>
      </c>
      <c r="C40" s="338">
        <v>32.661560000000001</v>
      </c>
      <c r="D40" s="338">
        <v>25.145551999999999</v>
      </c>
      <c r="E40" s="338">
        <v>18.383088999999998</v>
      </c>
      <c r="F40" s="338">
        <v>25.49099</v>
      </c>
      <c r="G40" s="338">
        <v>12.827140999999999</v>
      </c>
      <c r="H40" s="338">
        <v>11.366446</v>
      </c>
      <c r="I40" s="338">
        <v>36.300902999999998</v>
      </c>
      <c r="J40" s="1154">
        <f t="shared" si="0"/>
        <v>42.324888226527563</v>
      </c>
      <c r="K40" s="396">
        <v>2036</v>
      </c>
      <c r="L40" s="391">
        <f t="shared" si="2"/>
        <v>2.9367464189999999</v>
      </c>
      <c r="M40" s="391">
        <f t="shared" si="3"/>
        <v>4.5301583720000007</v>
      </c>
      <c r="N40" s="391">
        <f t="shared" si="4"/>
        <v>3.4876880623999997</v>
      </c>
      <c r="O40" s="391">
        <f t="shared" si="5"/>
        <v>2.5497344442999994</v>
      </c>
      <c r="P40" s="391">
        <f t="shared" si="6"/>
        <v>3.5356003130000002</v>
      </c>
      <c r="Q40" s="391">
        <f t="shared" si="7"/>
        <v>1.7791244567</v>
      </c>
      <c r="R40" s="391">
        <f t="shared" si="8"/>
        <v>1.5765260602</v>
      </c>
      <c r="S40" s="391">
        <f t="shared" si="9"/>
        <v>10.069103147044721</v>
      </c>
      <c r="T40" s="397">
        <f t="shared" si="10"/>
        <v>5.8704619970193725</v>
      </c>
      <c r="U40" s="1218">
        <f>'S-curves'!AN25</f>
        <v>1.9998475958244206</v>
      </c>
      <c r="W40" s="806">
        <v>2036</v>
      </c>
      <c r="X40" s="338">
        <f t="shared" si="12"/>
        <v>16.583338741258743</v>
      </c>
      <c r="Y40" s="338">
        <f t="shared" si="13"/>
        <v>34.740022909090904</v>
      </c>
      <c r="Z40" s="338">
        <f t="shared" si="14"/>
        <v>23.984466134882386</v>
      </c>
      <c r="AA40" s="338">
        <f t="shared" si="33"/>
        <v>18.383088999999998</v>
      </c>
      <c r="AB40" s="338">
        <f t="shared" si="15"/>
        <v>24.337327520091865</v>
      </c>
      <c r="AC40" s="338">
        <f t="shared" si="34"/>
        <v>12.827140999999999</v>
      </c>
      <c r="AD40" s="338">
        <f t="shared" si="16"/>
        <v>9.8373277040358733</v>
      </c>
      <c r="AE40" s="338">
        <f t="shared" si="35"/>
        <v>36.300902999999998</v>
      </c>
      <c r="AF40" s="499">
        <f t="shared" si="17"/>
        <v>42.324888226527563</v>
      </c>
      <c r="AG40" s="396">
        <v>2036</v>
      </c>
      <c r="AH40" s="391">
        <f t="shared" si="19"/>
        <v>2.3001090834125875</v>
      </c>
      <c r="AI40" s="391">
        <f t="shared" si="20"/>
        <v>4.8184411774909091</v>
      </c>
      <c r="AJ40" s="391">
        <f t="shared" si="21"/>
        <v>3.3266454529081866</v>
      </c>
      <c r="AK40" s="391">
        <f t="shared" si="22"/>
        <v>2.5497344442999994</v>
      </c>
      <c r="AL40" s="391">
        <f t="shared" si="23"/>
        <v>3.3755873270367416</v>
      </c>
      <c r="AM40" s="391">
        <f t="shared" si="24"/>
        <v>1.7791244567</v>
      </c>
      <c r="AN40" s="391">
        <f t="shared" si="25"/>
        <v>1.3644373525497757</v>
      </c>
      <c r="AO40" s="391">
        <f t="shared" si="26"/>
        <v>10.069103147044721</v>
      </c>
      <c r="AP40" s="397">
        <f t="shared" si="27"/>
        <v>5.8704619970193725</v>
      </c>
      <c r="AQ40" s="10"/>
    </row>
    <row r="41" spans="1:43" x14ac:dyDescent="0.2">
      <c r="A41" s="806">
        <v>2037</v>
      </c>
      <c r="B41" s="338">
        <v>21.440998</v>
      </c>
      <c r="C41" s="338">
        <v>32.834831000000001</v>
      </c>
      <c r="D41" s="338">
        <v>25.222816000000002</v>
      </c>
      <c r="E41" s="338">
        <v>18.624289999999998</v>
      </c>
      <c r="F41" s="338">
        <v>25.664202</v>
      </c>
      <c r="G41" s="338">
        <v>12.921616999999999</v>
      </c>
      <c r="H41" s="338">
        <v>11.344866</v>
      </c>
      <c r="I41" s="338">
        <v>36.140179000000003</v>
      </c>
      <c r="J41" s="1154">
        <f t="shared" si="0"/>
        <v>41.430700447093884</v>
      </c>
      <c r="K41" s="396">
        <v>2037</v>
      </c>
      <c r="L41" s="391">
        <f t="shared" si="2"/>
        <v>2.9738664226</v>
      </c>
      <c r="M41" s="391">
        <f t="shared" si="3"/>
        <v>4.5541910596999999</v>
      </c>
      <c r="N41" s="391">
        <f t="shared" si="4"/>
        <v>3.4984045792000003</v>
      </c>
      <c r="O41" s="391">
        <f t="shared" si="5"/>
        <v>2.5831890229999996</v>
      </c>
      <c r="P41" s="391">
        <f t="shared" si="6"/>
        <v>3.5596248174</v>
      </c>
      <c r="Q41" s="391">
        <f t="shared" si="7"/>
        <v>1.7922282778999998</v>
      </c>
      <c r="R41" s="391">
        <f t="shared" si="8"/>
        <v>1.5735329142000001</v>
      </c>
      <c r="S41" s="391">
        <f t="shared" si="9"/>
        <v>10.013076452965333</v>
      </c>
      <c r="T41" s="397">
        <f t="shared" si="10"/>
        <v>5.7464381520119217</v>
      </c>
      <c r="U41" s="1218">
        <f>'S-curves'!AN26</f>
        <v>1.997564318453297</v>
      </c>
      <c r="W41" s="806">
        <v>2037</v>
      </c>
      <c r="X41" s="338">
        <f t="shared" si="12"/>
        <v>16.792949482517486</v>
      </c>
      <c r="Y41" s="338">
        <f t="shared" si="13"/>
        <v>34.924320245454545</v>
      </c>
      <c r="Z41" s="338">
        <f t="shared" si="14"/>
        <v>24.058162500404432</v>
      </c>
      <c r="AA41" s="338">
        <f t="shared" si="33"/>
        <v>18.624289999999998</v>
      </c>
      <c r="AB41" s="338">
        <f t="shared" si="15"/>
        <v>24.502700350821865</v>
      </c>
      <c r="AC41" s="338">
        <f t="shared" si="34"/>
        <v>12.921616999999999</v>
      </c>
      <c r="AD41" s="338">
        <f t="shared" si="16"/>
        <v>9.8186508430493262</v>
      </c>
      <c r="AE41" s="338">
        <f t="shared" si="35"/>
        <v>36.140179000000003</v>
      </c>
      <c r="AF41" s="499">
        <f t="shared" si="17"/>
        <v>41.430700447093884</v>
      </c>
      <c r="AG41" s="396">
        <v>2037</v>
      </c>
      <c r="AH41" s="391">
        <f t="shared" si="19"/>
        <v>2.329182093225175</v>
      </c>
      <c r="AI41" s="391">
        <f t="shared" si="20"/>
        <v>4.8440032180445458</v>
      </c>
      <c r="AJ41" s="391">
        <f t="shared" si="21"/>
        <v>3.3368671388060949</v>
      </c>
      <c r="AK41" s="391">
        <f t="shared" si="22"/>
        <v>2.5831890229999996</v>
      </c>
      <c r="AL41" s="391">
        <f t="shared" si="23"/>
        <v>3.3985245386589931</v>
      </c>
      <c r="AM41" s="391">
        <f t="shared" si="24"/>
        <v>1.7922282778999998</v>
      </c>
      <c r="AN41" s="391">
        <f t="shared" si="25"/>
        <v>1.3618468719309416</v>
      </c>
      <c r="AO41" s="391">
        <f t="shared" si="26"/>
        <v>10.013076452965333</v>
      </c>
      <c r="AP41" s="397">
        <f t="shared" si="27"/>
        <v>5.7464381520119217</v>
      </c>
      <c r="AQ41" s="10"/>
    </row>
    <row r="42" spans="1:43" x14ac:dyDescent="0.2">
      <c r="A42" s="806">
        <v>2038</v>
      </c>
      <c r="B42" s="338">
        <v>21.689045</v>
      </c>
      <c r="C42" s="338">
        <v>33.766201000000002</v>
      </c>
      <c r="D42" s="338">
        <v>25.499110999999999</v>
      </c>
      <c r="E42" s="338">
        <v>18.83005</v>
      </c>
      <c r="F42" s="338">
        <v>25.881091999999999</v>
      </c>
      <c r="G42" s="338">
        <v>13.491559000000001</v>
      </c>
      <c r="H42" s="338">
        <v>11.310649</v>
      </c>
      <c r="I42" s="338">
        <v>36.026969999999999</v>
      </c>
      <c r="J42" s="1154">
        <f t="shared" si="0"/>
        <v>40.536512667660197</v>
      </c>
      <c r="K42" s="396">
        <v>2038</v>
      </c>
      <c r="L42" s="391">
        <f t="shared" si="2"/>
        <v>3.0082705415</v>
      </c>
      <c r="M42" s="391">
        <f t="shared" si="3"/>
        <v>4.6833720787000006</v>
      </c>
      <c r="N42" s="391">
        <f t="shared" si="4"/>
        <v>3.5367266957000001</v>
      </c>
      <c r="O42" s="391">
        <f t="shared" si="5"/>
        <v>2.6117279350000002</v>
      </c>
      <c r="P42" s="391">
        <f t="shared" si="6"/>
        <v>3.5897074603999997</v>
      </c>
      <c r="Q42" s="391">
        <f t="shared" si="7"/>
        <v>1.8712792332999999</v>
      </c>
      <c r="R42" s="391">
        <f t="shared" si="8"/>
        <v>1.5687870162999999</v>
      </c>
      <c r="S42" s="391">
        <f t="shared" si="9"/>
        <v>9.932570095649</v>
      </c>
      <c r="T42" s="397">
        <f t="shared" si="10"/>
        <v>5.6224143070044699</v>
      </c>
      <c r="U42" s="1218">
        <f>'S-curves'!AN27</f>
        <v>1.9877302162356105</v>
      </c>
      <c r="W42" s="806">
        <v>2038</v>
      </c>
      <c r="X42" s="338">
        <f t="shared" si="12"/>
        <v>16.987224055944058</v>
      </c>
      <c r="Y42" s="338">
        <f t="shared" si="13"/>
        <v>35.91495924545454</v>
      </c>
      <c r="Z42" s="338">
        <f t="shared" si="14"/>
        <v>24.321699688641036</v>
      </c>
      <c r="AA42" s="338">
        <f t="shared" si="33"/>
        <v>18.83005</v>
      </c>
      <c r="AB42" s="338">
        <f t="shared" si="15"/>
        <v>24.709774417613023</v>
      </c>
      <c r="AC42" s="338">
        <f t="shared" si="34"/>
        <v>13.491559000000001</v>
      </c>
      <c r="AD42" s="338">
        <f t="shared" si="16"/>
        <v>9.7890370269058291</v>
      </c>
      <c r="AE42" s="338">
        <f t="shared" si="35"/>
        <v>36.026969999999999</v>
      </c>
      <c r="AF42" s="499">
        <f t="shared" si="17"/>
        <v>40.536512667660197</v>
      </c>
      <c r="AG42" s="396">
        <v>2038</v>
      </c>
      <c r="AH42" s="391">
        <f t="shared" si="19"/>
        <v>2.3561279765594407</v>
      </c>
      <c r="AI42" s="391">
        <f t="shared" si="20"/>
        <v>4.9814048473445451</v>
      </c>
      <c r="AJ42" s="391">
        <f t="shared" si="21"/>
        <v>3.3734197468145117</v>
      </c>
      <c r="AK42" s="391">
        <f t="shared" si="22"/>
        <v>2.6117279350000002</v>
      </c>
      <c r="AL42" s="391">
        <f t="shared" si="23"/>
        <v>3.427245711722926</v>
      </c>
      <c r="AM42" s="391">
        <f t="shared" si="24"/>
        <v>1.8712792332999999</v>
      </c>
      <c r="AN42" s="391">
        <f t="shared" si="25"/>
        <v>1.3577394356318384</v>
      </c>
      <c r="AO42" s="391">
        <f t="shared" si="26"/>
        <v>9.932570095649</v>
      </c>
      <c r="AP42" s="397">
        <f t="shared" si="27"/>
        <v>5.6224143070044699</v>
      </c>
      <c r="AQ42" s="10"/>
    </row>
    <row r="43" spans="1:43" x14ac:dyDescent="0.2">
      <c r="A43" s="806">
        <v>2039</v>
      </c>
      <c r="B43" s="338">
        <v>21.912479000000001</v>
      </c>
      <c r="C43" s="338">
        <v>34.771796999999999</v>
      </c>
      <c r="D43" s="338">
        <v>25.840990000000001</v>
      </c>
      <c r="E43" s="338">
        <v>19.106794000000001</v>
      </c>
      <c r="F43" s="338">
        <v>26.103442999999999</v>
      </c>
      <c r="G43" s="338">
        <v>13.652015</v>
      </c>
      <c r="H43" s="338">
        <v>11.269885</v>
      </c>
      <c r="I43" s="338">
        <v>35.831085000000002</v>
      </c>
      <c r="J43" s="1154">
        <f t="shared" si="0"/>
        <v>39.642324888226511</v>
      </c>
      <c r="K43" s="396">
        <v>2039</v>
      </c>
      <c r="L43" s="391">
        <f t="shared" si="2"/>
        <v>3.0392608373000001</v>
      </c>
      <c r="M43" s="391">
        <f t="shared" si="3"/>
        <v>4.8228482439000002</v>
      </c>
      <c r="N43" s="391">
        <f t="shared" si="4"/>
        <v>3.5841453130000001</v>
      </c>
      <c r="O43" s="391">
        <f t="shared" si="5"/>
        <v>2.6501123278000001</v>
      </c>
      <c r="P43" s="391">
        <f t="shared" si="6"/>
        <v>3.6205475440999995</v>
      </c>
      <c r="Q43" s="391">
        <f t="shared" si="7"/>
        <v>1.8935344805000001</v>
      </c>
      <c r="R43" s="391">
        <f t="shared" si="8"/>
        <v>1.5631330495</v>
      </c>
      <c r="S43" s="391">
        <f t="shared" si="9"/>
        <v>9.7493645962684727</v>
      </c>
      <c r="T43" s="397">
        <f t="shared" si="10"/>
        <v>5.4983904619970172</v>
      </c>
      <c r="U43" s="1218">
        <f>'S-curves'!AN28</f>
        <v>1.9617329724046002</v>
      </c>
      <c r="W43" s="806">
        <v>2039</v>
      </c>
      <c r="X43" s="338">
        <f t="shared" si="12"/>
        <v>17.162221314685318</v>
      </c>
      <c r="Y43" s="338">
        <f t="shared" si="13"/>
        <v>36.984547718181815</v>
      </c>
      <c r="Z43" s="338">
        <f t="shared" si="14"/>
        <v>24.647792561755434</v>
      </c>
      <c r="AA43" s="338">
        <f t="shared" si="33"/>
        <v>19.106794000000001</v>
      </c>
      <c r="AB43" s="338">
        <f t="shared" si="15"/>
        <v>24.922062332339753</v>
      </c>
      <c r="AC43" s="338">
        <f t="shared" si="34"/>
        <v>13.652015</v>
      </c>
      <c r="AD43" s="338">
        <f t="shared" si="16"/>
        <v>9.7537569730941698</v>
      </c>
      <c r="AE43" s="338">
        <f t="shared" si="35"/>
        <v>35.831085000000002</v>
      </c>
      <c r="AF43" s="499">
        <f t="shared" si="17"/>
        <v>39.642324888226511</v>
      </c>
      <c r="AG43" s="396">
        <v>2039</v>
      </c>
      <c r="AH43" s="391">
        <f t="shared" si="19"/>
        <v>2.3804000963468539</v>
      </c>
      <c r="AI43" s="391">
        <f t="shared" si="20"/>
        <v>5.1297567685118182</v>
      </c>
      <c r="AJ43" s="391">
        <f t="shared" si="21"/>
        <v>3.4186488283154786</v>
      </c>
      <c r="AK43" s="391">
        <f t="shared" si="22"/>
        <v>2.6501123278000001</v>
      </c>
      <c r="AL43" s="391">
        <f t="shared" si="23"/>
        <v>3.4566900454955234</v>
      </c>
      <c r="AM43" s="391">
        <f t="shared" si="24"/>
        <v>1.8935344805000001</v>
      </c>
      <c r="AN43" s="391">
        <f t="shared" si="25"/>
        <v>1.3528460921681613</v>
      </c>
      <c r="AO43" s="391">
        <f t="shared" si="26"/>
        <v>9.7493645962684727</v>
      </c>
      <c r="AP43" s="397">
        <f t="shared" si="27"/>
        <v>5.4983904619970172</v>
      </c>
      <c r="AQ43" s="10"/>
    </row>
    <row r="44" spans="1:43" x14ac:dyDescent="0.2">
      <c r="A44" s="807">
        <v>2040</v>
      </c>
      <c r="B44" s="338">
        <v>22.101877000000002</v>
      </c>
      <c r="C44" s="338">
        <v>35.608722999999998</v>
      </c>
      <c r="D44" s="338">
        <v>25.933036999999999</v>
      </c>
      <c r="E44" s="338">
        <v>19.197942999999999</v>
      </c>
      <c r="F44" s="338">
        <v>26.104603000000001</v>
      </c>
      <c r="G44" s="338">
        <v>13.829222</v>
      </c>
      <c r="H44" s="338">
        <v>11.222148000000001</v>
      </c>
      <c r="I44" s="338">
        <v>35.613166999999997</v>
      </c>
      <c r="J44" s="1154">
        <f t="shared" si="0"/>
        <v>38.748137108792832</v>
      </c>
      <c r="K44" s="398">
        <v>2040</v>
      </c>
      <c r="L44" s="392">
        <f t="shared" si="2"/>
        <v>3.0655303399</v>
      </c>
      <c r="M44" s="392">
        <f t="shared" si="3"/>
        <v>4.9389298800999999</v>
      </c>
      <c r="N44" s="392">
        <f t="shared" si="4"/>
        <v>3.5969122319000002</v>
      </c>
      <c r="O44" s="392">
        <f t="shared" si="5"/>
        <v>2.6627546940999998</v>
      </c>
      <c r="P44" s="392">
        <f t="shared" si="6"/>
        <v>3.6207084361000001</v>
      </c>
      <c r="Q44" s="392">
        <f t="shared" si="7"/>
        <v>1.9181130914</v>
      </c>
      <c r="R44" s="392">
        <f t="shared" si="8"/>
        <v>1.5565119276000001</v>
      </c>
      <c r="S44" s="392">
        <f t="shared" si="9"/>
        <v>9.4302687920638633</v>
      </c>
      <c r="T44" s="399">
        <f t="shared" si="10"/>
        <v>5.3743666169895663</v>
      </c>
      <c r="U44" s="1218">
        <f>'S-curves'!AN29</f>
        <v>1.9091366474068348</v>
      </c>
      <c r="W44" s="807">
        <v>2040</v>
      </c>
      <c r="X44" s="338">
        <f t="shared" si="12"/>
        <v>17.310561006993012</v>
      </c>
      <c r="Y44" s="338">
        <f t="shared" si="13"/>
        <v>37.874732645454536</v>
      </c>
      <c r="Z44" s="338">
        <f t="shared" si="14"/>
        <v>24.735589328130555</v>
      </c>
      <c r="AA44" s="338">
        <f t="shared" si="33"/>
        <v>19.197942999999999</v>
      </c>
      <c r="AB44" s="338">
        <f t="shared" si="15"/>
        <v>24.923169833457731</v>
      </c>
      <c r="AC44" s="338">
        <f t="shared" si="34"/>
        <v>13.829222</v>
      </c>
      <c r="AD44" s="338">
        <f t="shared" si="16"/>
        <v>9.7124419910313904</v>
      </c>
      <c r="AE44" s="338">
        <f t="shared" si="35"/>
        <v>35.613166999999997</v>
      </c>
      <c r="AF44" s="499">
        <f t="shared" si="17"/>
        <v>38.748137108792832</v>
      </c>
      <c r="AG44" s="398">
        <v>2040</v>
      </c>
      <c r="AH44" s="392">
        <f t="shared" si="19"/>
        <v>2.400974811669931</v>
      </c>
      <c r="AI44" s="392">
        <f t="shared" si="20"/>
        <v>5.2532254179245434</v>
      </c>
      <c r="AJ44" s="392">
        <f t="shared" si="21"/>
        <v>3.4308262398117075</v>
      </c>
      <c r="AK44" s="392">
        <f t="shared" si="22"/>
        <v>2.6627546940999998</v>
      </c>
      <c r="AL44" s="392">
        <f t="shared" si="23"/>
        <v>3.4568436559005873</v>
      </c>
      <c r="AM44" s="392">
        <f t="shared" si="24"/>
        <v>1.9181130914</v>
      </c>
      <c r="AN44" s="392">
        <f t="shared" si="25"/>
        <v>1.347115704156054</v>
      </c>
      <c r="AO44" s="392">
        <f t="shared" si="26"/>
        <v>9.4302687920638633</v>
      </c>
      <c r="AP44" s="399">
        <f t="shared" si="27"/>
        <v>5.3743666169895663</v>
      </c>
      <c r="AQ44" s="10"/>
    </row>
    <row r="45" spans="1:43" x14ac:dyDescent="0.2">
      <c r="A45" s="806">
        <v>2041</v>
      </c>
      <c r="B45" s="338">
        <v>22.279131</v>
      </c>
      <c r="C45" s="338">
        <v>35.916091999999999</v>
      </c>
      <c r="D45" s="338">
        <v>26.118065000000001</v>
      </c>
      <c r="E45" s="338">
        <v>19.450199000000001</v>
      </c>
      <c r="F45" s="338">
        <v>26.271511</v>
      </c>
      <c r="G45" s="338">
        <v>13.942467000000001</v>
      </c>
      <c r="H45" s="338">
        <v>11.174136000000001</v>
      </c>
      <c r="I45" s="338">
        <v>35.422935000000003</v>
      </c>
      <c r="J45" s="1154">
        <f t="shared" si="0"/>
        <v>37.853949329359153</v>
      </c>
      <c r="K45" s="396">
        <v>2041</v>
      </c>
      <c r="L45" s="391">
        <f t="shared" si="2"/>
        <v>3.0901154696999997</v>
      </c>
      <c r="M45" s="391">
        <f t="shared" si="3"/>
        <v>4.9815619604000005</v>
      </c>
      <c r="N45" s="391">
        <f t="shared" si="4"/>
        <v>3.6225756155000002</v>
      </c>
      <c r="O45" s="391">
        <f t="shared" si="5"/>
        <v>2.6977426013000003</v>
      </c>
      <c r="P45" s="391">
        <f t="shared" si="6"/>
        <v>3.6438585756999999</v>
      </c>
      <c r="Q45" s="391">
        <f t="shared" si="7"/>
        <v>1.9338201729000002</v>
      </c>
      <c r="R45" s="391">
        <f t="shared" si="8"/>
        <v>1.5498526632</v>
      </c>
      <c r="S45" s="391">
        <f t="shared" si="9"/>
        <v>8.9456616685473076</v>
      </c>
      <c r="T45" s="397">
        <f t="shared" si="10"/>
        <v>5.2503427719821145</v>
      </c>
      <c r="U45" s="1218">
        <f>'S-curves'!AN30</f>
        <v>1.8207548082982679</v>
      </c>
      <c r="W45" s="806">
        <v>2041</v>
      </c>
      <c r="X45" s="338">
        <f t="shared" si="12"/>
        <v>17.449389314685316</v>
      </c>
      <c r="Y45" s="338">
        <f t="shared" si="13"/>
        <v>38.201661490909082</v>
      </c>
      <c r="Z45" s="338">
        <f t="shared" si="14"/>
        <v>24.912073733802185</v>
      </c>
      <c r="AA45" s="338">
        <f t="shared" si="33"/>
        <v>19.450199000000001</v>
      </c>
      <c r="AB45" s="338">
        <f t="shared" si="15"/>
        <v>25.08252396845694</v>
      </c>
      <c r="AC45" s="338">
        <f t="shared" si="34"/>
        <v>13.942467000000001</v>
      </c>
      <c r="AD45" s="338">
        <f t="shared" si="16"/>
        <v>9.6708890044843052</v>
      </c>
      <c r="AE45" s="338">
        <f t="shared" si="35"/>
        <v>35.422935000000003</v>
      </c>
      <c r="AF45" s="499">
        <f t="shared" si="17"/>
        <v>37.853949329359153</v>
      </c>
      <c r="AG45" s="396">
        <v>2041</v>
      </c>
      <c r="AH45" s="391">
        <f t="shared" si="19"/>
        <v>2.4202302979468535</v>
      </c>
      <c r="AI45" s="391">
        <f t="shared" si="20"/>
        <v>5.2985704487890901</v>
      </c>
      <c r="AJ45" s="391">
        <f t="shared" si="21"/>
        <v>3.4553046268783629</v>
      </c>
      <c r="AK45" s="391">
        <f t="shared" si="22"/>
        <v>2.6977426013000003</v>
      </c>
      <c r="AL45" s="391">
        <f t="shared" si="23"/>
        <v>3.4789460744249774</v>
      </c>
      <c r="AM45" s="391">
        <f t="shared" si="24"/>
        <v>1.9338201729000002</v>
      </c>
      <c r="AN45" s="391">
        <f t="shared" si="25"/>
        <v>1.3413523049219731</v>
      </c>
      <c r="AO45" s="391">
        <f t="shared" si="26"/>
        <v>8.9456616685473076</v>
      </c>
      <c r="AP45" s="397">
        <f t="shared" si="27"/>
        <v>5.2503427719821145</v>
      </c>
      <c r="AQ45" s="10"/>
    </row>
    <row r="46" spans="1:43" x14ac:dyDescent="0.2">
      <c r="A46" s="806">
        <v>2042</v>
      </c>
      <c r="B46" s="338">
        <v>22.573450000000001</v>
      </c>
      <c r="C46" s="338">
        <v>37.479790000000001</v>
      </c>
      <c r="D46" s="338">
        <v>26.521101000000002</v>
      </c>
      <c r="E46" s="338">
        <v>19.834574</v>
      </c>
      <c r="F46" s="338">
        <v>26.655840000000001</v>
      </c>
      <c r="G46" s="338">
        <v>13.968139000000001</v>
      </c>
      <c r="H46" s="338">
        <v>11.160277000000001</v>
      </c>
      <c r="I46" s="338">
        <v>35.253875999999998</v>
      </c>
      <c r="J46" s="1154">
        <f t="shared" si="0"/>
        <v>36.959761549925474</v>
      </c>
      <c r="K46" s="396">
        <v>2042</v>
      </c>
      <c r="L46" s="391">
        <f t="shared" si="2"/>
        <v>3.1309375150000003</v>
      </c>
      <c r="M46" s="391">
        <f t="shared" si="3"/>
        <v>5.1984468730000009</v>
      </c>
      <c r="N46" s="391">
        <f t="shared" si="4"/>
        <v>3.6784767087000003</v>
      </c>
      <c r="O46" s="391">
        <f t="shared" si="5"/>
        <v>2.7510554138000001</v>
      </c>
      <c r="P46" s="391">
        <f t="shared" si="6"/>
        <v>3.6971650080000003</v>
      </c>
      <c r="Q46" s="391">
        <f t="shared" si="7"/>
        <v>1.9373808793000002</v>
      </c>
      <c r="R46" s="391">
        <f t="shared" si="8"/>
        <v>1.5479304199000001</v>
      </c>
      <c r="S46" s="391">
        <f t="shared" si="9"/>
        <v>8.2809104833630194</v>
      </c>
      <c r="T46" s="397">
        <f t="shared" si="10"/>
        <v>5.1263189269746636</v>
      </c>
      <c r="U46" s="1218">
        <f>'S-curves'!AN31</f>
        <v>1.6935372605193146</v>
      </c>
      <c r="W46" s="806">
        <v>2042</v>
      </c>
      <c r="X46" s="338">
        <f t="shared" si="12"/>
        <v>17.679904895104897</v>
      </c>
      <c r="Y46" s="338">
        <f t="shared" si="13"/>
        <v>39.864867545454544</v>
      </c>
      <c r="Z46" s="338">
        <f t="shared" si="14"/>
        <v>25.296499706759093</v>
      </c>
      <c r="AA46" s="338">
        <f t="shared" si="33"/>
        <v>19.834574</v>
      </c>
      <c r="AB46" s="338">
        <f t="shared" si="15"/>
        <v>25.449459138431482</v>
      </c>
      <c r="AC46" s="338">
        <f t="shared" si="34"/>
        <v>13.968139000000001</v>
      </c>
      <c r="AD46" s="338">
        <f t="shared" si="16"/>
        <v>9.6588944439461883</v>
      </c>
      <c r="AE46" s="338">
        <f t="shared" si="35"/>
        <v>35.253875999999998</v>
      </c>
      <c r="AF46" s="499">
        <f t="shared" si="17"/>
        <v>36.959761549925474</v>
      </c>
      <c r="AG46" s="396">
        <v>2042</v>
      </c>
      <c r="AH46" s="391">
        <f t="shared" si="19"/>
        <v>2.452202808951049</v>
      </c>
      <c r="AI46" s="391">
        <f t="shared" si="20"/>
        <v>5.5292571285545451</v>
      </c>
      <c r="AJ46" s="391">
        <f t="shared" si="21"/>
        <v>3.5086245093274862</v>
      </c>
      <c r="AK46" s="391">
        <f t="shared" si="22"/>
        <v>2.7510554138000001</v>
      </c>
      <c r="AL46" s="391">
        <f t="shared" si="23"/>
        <v>3.5298399825004463</v>
      </c>
      <c r="AM46" s="391">
        <f t="shared" si="24"/>
        <v>1.9373808793000002</v>
      </c>
      <c r="AN46" s="391">
        <f t="shared" si="25"/>
        <v>1.3396886593753363</v>
      </c>
      <c r="AO46" s="391">
        <f t="shared" si="26"/>
        <v>8.2809104833630194</v>
      </c>
      <c r="AP46" s="397">
        <f t="shared" si="27"/>
        <v>5.1263189269746636</v>
      </c>
      <c r="AQ46" s="10"/>
    </row>
    <row r="47" spans="1:43" x14ac:dyDescent="0.2">
      <c r="A47" s="806">
        <v>2043</v>
      </c>
      <c r="B47" s="338">
        <v>22.785976000000002</v>
      </c>
      <c r="C47" s="338">
        <v>37.935295000000004</v>
      </c>
      <c r="D47" s="338">
        <v>26.736353000000001</v>
      </c>
      <c r="E47" s="338">
        <v>20.040814999999998</v>
      </c>
      <c r="F47" s="338">
        <v>26.817506999999999</v>
      </c>
      <c r="G47" s="338">
        <v>14.613647</v>
      </c>
      <c r="H47" s="338">
        <v>11.142837999999999</v>
      </c>
      <c r="I47" s="338">
        <v>34.979267</v>
      </c>
      <c r="J47" s="1154">
        <f t="shared" si="0"/>
        <v>36.065573770491788</v>
      </c>
      <c r="K47" s="396">
        <v>2043</v>
      </c>
      <c r="L47" s="391">
        <f t="shared" si="2"/>
        <v>3.1604148712000004</v>
      </c>
      <c r="M47" s="391">
        <f t="shared" si="3"/>
        <v>5.2616254165000003</v>
      </c>
      <c r="N47" s="391">
        <f t="shared" si="4"/>
        <v>3.7083321611</v>
      </c>
      <c r="O47" s="391">
        <f t="shared" si="5"/>
        <v>2.7796610404999997</v>
      </c>
      <c r="P47" s="391">
        <f t="shared" si="6"/>
        <v>3.7195882209</v>
      </c>
      <c r="Q47" s="391">
        <f t="shared" si="7"/>
        <v>2.0269128389</v>
      </c>
      <c r="R47" s="391">
        <f t="shared" si="8"/>
        <v>1.5455116305999999</v>
      </c>
      <c r="S47" s="391">
        <f t="shared" si="9"/>
        <v>7.4503429550494946</v>
      </c>
      <c r="T47" s="397">
        <f t="shared" si="10"/>
        <v>5.002295081967211</v>
      </c>
      <c r="U47" s="1218">
        <f>'S-curves'!AN32</f>
        <v>1.5356388796484046</v>
      </c>
      <c r="W47" s="806">
        <v>2043</v>
      </c>
      <c r="X47" s="338">
        <f t="shared" si="12"/>
        <v>17.846358825174828</v>
      </c>
      <c r="Y47" s="338">
        <f t="shared" si="13"/>
        <v>40.349359227272728</v>
      </c>
      <c r="Z47" s="338">
        <f t="shared" si="14"/>
        <v>25.501812531248515</v>
      </c>
      <c r="AA47" s="338">
        <f t="shared" si="33"/>
        <v>20.040814999999998</v>
      </c>
      <c r="AB47" s="338">
        <f t="shared" si="15"/>
        <v>25.603809468810596</v>
      </c>
      <c r="AC47" s="338">
        <f t="shared" si="34"/>
        <v>14.613647</v>
      </c>
      <c r="AD47" s="338">
        <f t="shared" si="16"/>
        <v>9.6438014977578472</v>
      </c>
      <c r="AE47" s="338">
        <f t="shared" si="35"/>
        <v>34.979267</v>
      </c>
      <c r="AF47" s="499">
        <f t="shared" si="17"/>
        <v>36.065573770491788</v>
      </c>
      <c r="AG47" s="396">
        <v>2043</v>
      </c>
      <c r="AH47" s="391">
        <f t="shared" si="19"/>
        <v>2.4752899690517487</v>
      </c>
      <c r="AI47" s="391">
        <f t="shared" si="20"/>
        <v>5.5964561248227271</v>
      </c>
      <c r="AJ47" s="391">
        <f t="shared" si="21"/>
        <v>3.5371013980841686</v>
      </c>
      <c r="AK47" s="391">
        <f t="shared" si="22"/>
        <v>2.7796610404999997</v>
      </c>
      <c r="AL47" s="391">
        <f t="shared" si="23"/>
        <v>3.5512483733240297</v>
      </c>
      <c r="AM47" s="391">
        <f t="shared" si="24"/>
        <v>2.0269128389</v>
      </c>
      <c r="AN47" s="391">
        <f t="shared" si="25"/>
        <v>1.3375952677390133</v>
      </c>
      <c r="AO47" s="391">
        <f t="shared" si="26"/>
        <v>7.4503429550494946</v>
      </c>
      <c r="AP47" s="397">
        <f t="shared" si="27"/>
        <v>5.002295081967211</v>
      </c>
      <c r="AQ47" s="10"/>
    </row>
    <row r="48" spans="1:43" x14ac:dyDescent="0.2">
      <c r="A48" s="806">
        <v>2044</v>
      </c>
      <c r="B48" s="338">
        <v>22.996428999999999</v>
      </c>
      <c r="C48" s="338">
        <v>38.346237000000002</v>
      </c>
      <c r="D48" s="338">
        <v>26.945976000000002</v>
      </c>
      <c r="E48" s="338">
        <v>20.276285000000001</v>
      </c>
      <c r="F48" s="338">
        <v>27.027259999999998</v>
      </c>
      <c r="G48" s="338">
        <v>14.869235</v>
      </c>
      <c r="H48" s="338">
        <v>11.134161000000001</v>
      </c>
      <c r="I48" s="338">
        <v>34.808914000000001</v>
      </c>
      <c r="J48" s="1154">
        <f t="shared" si="0"/>
        <v>35.171385991058102</v>
      </c>
      <c r="K48" s="396">
        <v>2044</v>
      </c>
      <c r="L48" s="391">
        <f t="shared" si="2"/>
        <v>3.1896047023</v>
      </c>
      <c r="M48" s="391">
        <f t="shared" si="3"/>
        <v>5.3186230719000003</v>
      </c>
      <c r="N48" s="391">
        <f t="shared" si="4"/>
        <v>3.7374068712000006</v>
      </c>
      <c r="O48" s="391">
        <f t="shared" si="5"/>
        <v>2.8123207295000006</v>
      </c>
      <c r="P48" s="391">
        <f t="shared" si="6"/>
        <v>3.7486809619999999</v>
      </c>
      <c r="Q48" s="391">
        <f t="shared" si="7"/>
        <v>2.0623628945000001</v>
      </c>
      <c r="R48" s="391">
        <f t="shared" si="8"/>
        <v>1.5443081307000002</v>
      </c>
      <c r="S48" s="391">
        <f t="shared" si="9"/>
        <v>6.6041169790355356</v>
      </c>
      <c r="T48" s="397">
        <f t="shared" si="10"/>
        <v>4.8782712369597592</v>
      </c>
      <c r="U48" s="1218">
        <f>'S-curves'!AN33</f>
        <v>1.3678794411714423</v>
      </c>
      <c r="W48" s="806">
        <v>2044</v>
      </c>
      <c r="X48" s="338">
        <f t="shared" si="12"/>
        <v>18.011189146853148</v>
      </c>
      <c r="Y48" s="338">
        <f t="shared" si="13"/>
        <v>40.786452081818176</v>
      </c>
      <c r="Z48" s="338">
        <f t="shared" si="14"/>
        <v>25.701756272574713</v>
      </c>
      <c r="AA48" s="338">
        <f t="shared" si="33"/>
        <v>20.276285000000001</v>
      </c>
      <c r="AB48" s="338">
        <f t="shared" si="15"/>
        <v>25.804069539499174</v>
      </c>
      <c r="AC48" s="338">
        <f t="shared" si="34"/>
        <v>14.869235</v>
      </c>
      <c r="AD48" s="338">
        <f t="shared" si="16"/>
        <v>9.6362918071748886</v>
      </c>
      <c r="AE48" s="338">
        <f t="shared" si="35"/>
        <v>34.808914000000001</v>
      </c>
      <c r="AF48" s="499">
        <f t="shared" si="17"/>
        <v>35.171385991058102</v>
      </c>
      <c r="AG48" s="396">
        <v>2044</v>
      </c>
      <c r="AH48" s="391">
        <f t="shared" si="19"/>
        <v>2.4981519346685315</v>
      </c>
      <c r="AI48" s="391">
        <f t="shared" si="20"/>
        <v>5.6570809037481808</v>
      </c>
      <c r="AJ48" s="391">
        <f t="shared" si="21"/>
        <v>3.5648335950061125</v>
      </c>
      <c r="AK48" s="391">
        <f t="shared" si="22"/>
        <v>2.8123207295000006</v>
      </c>
      <c r="AL48" s="391">
        <f t="shared" si="23"/>
        <v>3.5790244451285353</v>
      </c>
      <c r="AM48" s="391">
        <f t="shared" si="24"/>
        <v>2.0623628945000001</v>
      </c>
      <c r="AN48" s="391">
        <f t="shared" si="25"/>
        <v>1.3365536736551569</v>
      </c>
      <c r="AO48" s="391">
        <f t="shared" si="26"/>
        <v>6.6041169790355356</v>
      </c>
      <c r="AP48" s="397">
        <f t="shared" si="27"/>
        <v>4.8782712369597592</v>
      </c>
      <c r="AQ48" s="10"/>
    </row>
    <row r="49" spans="1:43" x14ac:dyDescent="0.2">
      <c r="A49" s="807">
        <v>2045</v>
      </c>
      <c r="B49" s="338">
        <v>23.208030999999998</v>
      </c>
      <c r="C49" s="338">
        <v>38.771312999999999</v>
      </c>
      <c r="D49" s="338">
        <v>27.292883</v>
      </c>
      <c r="E49" s="338">
        <v>20.70055</v>
      </c>
      <c r="F49" s="338">
        <v>27.398430000000001</v>
      </c>
      <c r="G49" s="338">
        <v>14.895740999999999</v>
      </c>
      <c r="H49" s="338">
        <v>11.127587</v>
      </c>
      <c r="I49" s="338">
        <v>34.676597999999998</v>
      </c>
      <c r="J49" s="1154">
        <f t="shared" si="0"/>
        <v>34.277198211624423</v>
      </c>
      <c r="K49" s="398">
        <v>2045</v>
      </c>
      <c r="L49" s="392">
        <f t="shared" si="2"/>
        <v>3.2189538996999998</v>
      </c>
      <c r="M49" s="392">
        <f t="shared" si="3"/>
        <v>5.3775811130999998</v>
      </c>
      <c r="N49" s="392">
        <f t="shared" si="4"/>
        <v>3.7855228720999996</v>
      </c>
      <c r="O49" s="392">
        <f t="shared" si="5"/>
        <v>2.8711662850000002</v>
      </c>
      <c r="P49" s="392">
        <f t="shared" si="6"/>
        <v>3.8001622410000002</v>
      </c>
      <c r="Q49" s="392">
        <f t="shared" si="7"/>
        <v>2.0660392766999998</v>
      </c>
      <c r="R49" s="392">
        <f t="shared" si="8"/>
        <v>1.5433963169</v>
      </c>
      <c r="S49" s="392">
        <f t="shared" si="9"/>
        <v>5.8572057614843391</v>
      </c>
      <c r="T49" s="399">
        <f t="shared" si="10"/>
        <v>4.7542473919523083</v>
      </c>
      <c r="U49" s="1218">
        <f>'S-curves'!AN34</f>
        <v>1.2178043921390924</v>
      </c>
      <c r="W49" s="807">
        <v>2045</v>
      </c>
      <c r="X49" s="338">
        <f t="shared" si="12"/>
        <v>18.176919384615385</v>
      </c>
      <c r="Y49" s="338">
        <f t="shared" si="13"/>
        <v>41.238578372727268</v>
      </c>
      <c r="Z49" s="338">
        <f t="shared" si="14"/>
        <v>26.032644979788362</v>
      </c>
      <c r="AA49" s="338">
        <f t="shared" si="33"/>
        <v>20.70055</v>
      </c>
      <c r="AB49" s="338">
        <f t="shared" si="15"/>
        <v>26.158441254981096</v>
      </c>
      <c r="AC49" s="338">
        <f t="shared" si="34"/>
        <v>14.895740999999999</v>
      </c>
      <c r="AD49" s="338">
        <f t="shared" si="16"/>
        <v>9.630602201793721</v>
      </c>
      <c r="AE49" s="338">
        <f t="shared" si="35"/>
        <v>34.676597999999998</v>
      </c>
      <c r="AF49" s="499">
        <f t="shared" si="17"/>
        <v>34.277198211624423</v>
      </c>
      <c r="AG49" s="398">
        <v>2045</v>
      </c>
      <c r="AH49" s="392">
        <f t="shared" si="19"/>
        <v>2.5211387186461538</v>
      </c>
      <c r="AI49" s="392">
        <f t="shared" si="20"/>
        <v>5.7197908202972716</v>
      </c>
      <c r="AJ49" s="392">
        <f t="shared" si="21"/>
        <v>3.6107278586966456</v>
      </c>
      <c r="AK49" s="392">
        <f t="shared" si="22"/>
        <v>2.8711662850000002</v>
      </c>
      <c r="AL49" s="392">
        <f t="shared" si="23"/>
        <v>3.6281758020658783</v>
      </c>
      <c r="AM49" s="392">
        <f t="shared" si="24"/>
        <v>2.0660392766999998</v>
      </c>
      <c r="AN49" s="392">
        <f t="shared" si="25"/>
        <v>1.3357645253887891</v>
      </c>
      <c r="AO49" s="392">
        <f t="shared" si="26"/>
        <v>5.8572057614843391</v>
      </c>
      <c r="AP49" s="399">
        <f t="shared" si="27"/>
        <v>4.7542473919523083</v>
      </c>
      <c r="AQ49" s="10"/>
    </row>
    <row r="50" spans="1:43" x14ac:dyDescent="0.2">
      <c r="A50" s="806">
        <v>2046</v>
      </c>
      <c r="B50" s="338">
        <v>23.411003000000001</v>
      </c>
      <c r="C50" s="338">
        <v>39.264046</v>
      </c>
      <c r="D50" s="338">
        <v>27.377738999999998</v>
      </c>
      <c r="E50" s="338">
        <v>20.752966000000001</v>
      </c>
      <c r="F50" s="338">
        <v>27.414787</v>
      </c>
      <c r="G50" s="338">
        <v>15.526524999999999</v>
      </c>
      <c r="H50" s="338">
        <v>11.152502999999999</v>
      </c>
      <c r="I50" s="338">
        <v>34.547210999999997</v>
      </c>
      <c r="J50" s="1154">
        <f t="shared" si="0"/>
        <v>33.383010432190744</v>
      </c>
      <c r="K50" s="396">
        <v>2046</v>
      </c>
      <c r="L50" s="391">
        <f t="shared" si="2"/>
        <v>3.2471061161000003</v>
      </c>
      <c r="M50" s="391">
        <f t="shared" si="3"/>
        <v>5.4459231802000003</v>
      </c>
      <c r="N50" s="391">
        <f t="shared" si="4"/>
        <v>3.7972923992999998</v>
      </c>
      <c r="O50" s="391">
        <f t="shared" si="5"/>
        <v>2.8784363842</v>
      </c>
      <c r="P50" s="391">
        <f t="shared" si="6"/>
        <v>3.8024309569000003</v>
      </c>
      <c r="Q50" s="391">
        <f t="shared" si="7"/>
        <v>2.1535290174999999</v>
      </c>
      <c r="R50" s="391">
        <f t="shared" si="8"/>
        <v>1.5468521661000001</v>
      </c>
      <c r="S50" s="391">
        <f t="shared" si="9"/>
        <v>5.3061595847833702</v>
      </c>
      <c r="T50" s="397">
        <f t="shared" si="10"/>
        <v>4.6302235469448565</v>
      </c>
      <c r="U50" s="1218">
        <f>'S-curves'!AN35</f>
        <v>1.1073651555863839</v>
      </c>
      <c r="W50" s="806">
        <v>2046</v>
      </c>
      <c r="X50" s="338">
        <f t="shared" si="12"/>
        <v>18.335890461538465</v>
      </c>
      <c r="Y50" s="338">
        <f t="shared" si="13"/>
        <v>41.762667109090906</v>
      </c>
      <c r="Z50" s="338">
        <f t="shared" si="14"/>
        <v>26.113582787729168</v>
      </c>
      <c r="AA50" s="338">
        <f t="shared" si="33"/>
        <v>20.752966000000001</v>
      </c>
      <c r="AB50" s="338">
        <f t="shared" si="15"/>
        <v>26.174057975486896</v>
      </c>
      <c r="AC50" s="338">
        <f t="shared" si="34"/>
        <v>15.526524999999999</v>
      </c>
      <c r="AD50" s="338">
        <f t="shared" si="16"/>
        <v>9.6521662735425995</v>
      </c>
      <c r="AE50" s="338">
        <f t="shared" si="35"/>
        <v>34.547210999999997</v>
      </c>
      <c r="AF50" s="499">
        <f t="shared" si="17"/>
        <v>33.383010432190744</v>
      </c>
      <c r="AG50" s="396">
        <v>2046</v>
      </c>
      <c r="AH50" s="391">
        <f t="shared" si="19"/>
        <v>2.5431880070153854</v>
      </c>
      <c r="AI50" s="391">
        <f t="shared" si="20"/>
        <v>5.7924819280309094</v>
      </c>
      <c r="AJ50" s="391">
        <f t="shared" si="21"/>
        <v>3.6219539326580357</v>
      </c>
      <c r="AK50" s="391">
        <f t="shared" si="22"/>
        <v>2.8784363842</v>
      </c>
      <c r="AL50" s="391">
        <f t="shared" si="23"/>
        <v>3.6303418412000323</v>
      </c>
      <c r="AM50" s="391">
        <f t="shared" si="24"/>
        <v>2.1535290174999999</v>
      </c>
      <c r="AN50" s="391">
        <f t="shared" si="25"/>
        <v>1.3387554621403586</v>
      </c>
      <c r="AO50" s="391">
        <f t="shared" si="26"/>
        <v>5.3061595847833702</v>
      </c>
      <c r="AP50" s="397">
        <f t="shared" si="27"/>
        <v>4.6302235469448565</v>
      </c>
      <c r="AQ50" s="10"/>
    </row>
    <row r="51" spans="1:43" x14ac:dyDescent="0.2">
      <c r="A51" s="806">
        <v>2047</v>
      </c>
      <c r="B51" s="338">
        <v>23.683239</v>
      </c>
      <c r="C51" s="338">
        <v>42.460051999999997</v>
      </c>
      <c r="D51" s="338">
        <v>27.854393000000002</v>
      </c>
      <c r="E51" s="338">
        <v>21.175343999999999</v>
      </c>
      <c r="F51" s="338">
        <v>27.670738</v>
      </c>
      <c r="G51" s="338">
        <v>15.824721</v>
      </c>
      <c r="H51" s="338">
        <v>11.190495</v>
      </c>
      <c r="I51" s="338">
        <v>34.415016000000001</v>
      </c>
      <c r="J51" s="1154">
        <f t="shared" si="0"/>
        <v>32.488822652757065</v>
      </c>
      <c r="K51" s="396">
        <v>2047</v>
      </c>
      <c r="L51" s="391">
        <f t="shared" si="2"/>
        <v>3.2848652493000001</v>
      </c>
      <c r="M51" s="391">
        <f t="shared" si="3"/>
        <v>5.8892092123999999</v>
      </c>
      <c r="N51" s="391">
        <f t="shared" si="4"/>
        <v>3.8634043091000003</v>
      </c>
      <c r="O51" s="391">
        <f t="shared" si="5"/>
        <v>2.9370202127999998</v>
      </c>
      <c r="P51" s="391">
        <f t="shared" si="6"/>
        <v>3.8379313605999998</v>
      </c>
      <c r="Q51" s="391">
        <f t="shared" si="7"/>
        <v>2.1948888027</v>
      </c>
      <c r="R51" s="391">
        <f t="shared" si="8"/>
        <v>1.5521216565</v>
      </c>
      <c r="S51" s="391">
        <f t="shared" si="9"/>
        <v>4.9757761880547049</v>
      </c>
      <c r="T51" s="397">
        <f t="shared" si="10"/>
        <v>4.5061997019374056</v>
      </c>
      <c r="U51" s="1218">
        <f>'S-curves'!AN36</f>
        <v>1.0424047952694926</v>
      </c>
      <c r="W51" s="806">
        <v>2047</v>
      </c>
      <c r="X51" s="338">
        <f t="shared" si="12"/>
        <v>18.549110265734267</v>
      </c>
      <c r="Y51" s="338">
        <f t="shared" si="13"/>
        <v>45.162055309090903</v>
      </c>
      <c r="Z51" s="338">
        <f t="shared" si="14"/>
        <v>26.568227478808382</v>
      </c>
      <c r="AA51" s="338">
        <f t="shared" si="33"/>
        <v>21.175343999999999</v>
      </c>
      <c r="AB51" s="338">
        <f t="shared" si="15"/>
        <v>26.418425232941196</v>
      </c>
      <c r="AC51" s="338">
        <f t="shared" si="34"/>
        <v>15.824721</v>
      </c>
      <c r="AD51" s="338">
        <f t="shared" si="16"/>
        <v>9.685047242152466</v>
      </c>
      <c r="AE51" s="338">
        <f t="shared" si="35"/>
        <v>34.415016000000001</v>
      </c>
      <c r="AF51" s="499">
        <f t="shared" si="17"/>
        <v>32.488822652757065</v>
      </c>
      <c r="AG51" s="396">
        <v>2047</v>
      </c>
      <c r="AH51" s="391">
        <f t="shared" si="19"/>
        <v>2.5727615938573427</v>
      </c>
      <c r="AI51" s="391">
        <f t="shared" si="20"/>
        <v>6.263977071370908</v>
      </c>
      <c r="AJ51" s="391">
        <f t="shared" si="21"/>
        <v>3.6850131513107223</v>
      </c>
      <c r="AK51" s="391">
        <f t="shared" si="22"/>
        <v>2.9370202127999998</v>
      </c>
      <c r="AL51" s="391">
        <f t="shared" si="23"/>
        <v>3.6642355798089441</v>
      </c>
      <c r="AM51" s="391">
        <f t="shared" si="24"/>
        <v>2.1948888027</v>
      </c>
      <c r="AN51" s="391">
        <f t="shared" si="25"/>
        <v>1.3433160524865471</v>
      </c>
      <c r="AO51" s="391">
        <f t="shared" si="26"/>
        <v>4.9757761880547049</v>
      </c>
      <c r="AP51" s="397">
        <f t="shared" si="27"/>
        <v>4.5061997019374056</v>
      </c>
      <c r="AQ51" s="10"/>
    </row>
    <row r="52" spans="1:43" x14ac:dyDescent="0.2">
      <c r="A52" s="806">
        <v>2048</v>
      </c>
      <c r="B52" s="338">
        <v>23.960798</v>
      </c>
      <c r="C52" s="338">
        <v>43.544437000000002</v>
      </c>
      <c r="D52" s="338">
        <v>28.176065000000001</v>
      </c>
      <c r="E52" s="338">
        <v>21.518598999999998</v>
      </c>
      <c r="F52" s="338">
        <v>27.905581999999999</v>
      </c>
      <c r="G52" s="338">
        <v>16.030633999999999</v>
      </c>
      <c r="H52" s="338">
        <v>11.209865000000001</v>
      </c>
      <c r="I52" s="338">
        <v>34.257465000000003</v>
      </c>
      <c r="J52" s="1154">
        <f t="shared" si="0"/>
        <v>31.594634873323376</v>
      </c>
      <c r="K52" s="396">
        <v>2048</v>
      </c>
      <c r="L52" s="391">
        <f t="shared" si="2"/>
        <v>3.3233626826</v>
      </c>
      <c r="M52" s="391">
        <f t="shared" si="3"/>
        <v>6.0396134119000005</v>
      </c>
      <c r="N52" s="391">
        <f t="shared" si="4"/>
        <v>3.9080202155000006</v>
      </c>
      <c r="O52" s="391">
        <f t="shared" si="5"/>
        <v>2.9846296812999999</v>
      </c>
      <c r="P52" s="391">
        <f t="shared" si="6"/>
        <v>3.8705042234000002</v>
      </c>
      <c r="Q52" s="391">
        <f t="shared" si="7"/>
        <v>2.2234489358</v>
      </c>
      <c r="R52" s="391">
        <f t="shared" si="8"/>
        <v>1.5548082754999999</v>
      </c>
      <c r="S52" s="391">
        <f t="shared" si="9"/>
        <v>4.8126445337971857</v>
      </c>
      <c r="T52" s="397">
        <f t="shared" si="10"/>
        <v>4.382175856929952</v>
      </c>
      <c r="U52" s="1218">
        <f>'S-curves'!AN37</f>
        <v>1.0128662537190456</v>
      </c>
      <c r="W52" s="806">
        <v>2048</v>
      </c>
      <c r="X52" s="338">
        <f t="shared" si="12"/>
        <v>18.766499132867136</v>
      </c>
      <c r="Y52" s="338">
        <f t="shared" si="13"/>
        <v>46.315446627272721</v>
      </c>
      <c r="Z52" s="338">
        <f t="shared" si="14"/>
        <v>26.875046402112986</v>
      </c>
      <c r="AA52" s="338">
        <f t="shared" si="33"/>
        <v>21.518598999999998</v>
      </c>
      <c r="AB52" s="338">
        <f t="shared" si="15"/>
        <v>26.642640743760058</v>
      </c>
      <c r="AC52" s="338">
        <f t="shared" si="34"/>
        <v>16.030633999999999</v>
      </c>
      <c r="AD52" s="338">
        <f t="shared" si="16"/>
        <v>9.7018114125560544</v>
      </c>
      <c r="AE52" s="338">
        <f t="shared" si="35"/>
        <v>34.257465000000003</v>
      </c>
      <c r="AF52" s="499">
        <f t="shared" si="17"/>
        <v>31.594634873323376</v>
      </c>
      <c r="AG52" s="396">
        <v>2048</v>
      </c>
      <c r="AH52" s="391">
        <f t="shared" si="19"/>
        <v>2.6029134297286718</v>
      </c>
      <c r="AI52" s="391">
        <f t="shared" si="20"/>
        <v>6.4239524472027263</v>
      </c>
      <c r="AJ52" s="391">
        <f t="shared" si="21"/>
        <v>3.7275689359730708</v>
      </c>
      <c r="AK52" s="391">
        <f t="shared" si="22"/>
        <v>2.9846296812999999</v>
      </c>
      <c r="AL52" s="391">
        <f t="shared" si="23"/>
        <v>3.6953342711595201</v>
      </c>
      <c r="AM52" s="391">
        <f t="shared" si="24"/>
        <v>2.2234489358</v>
      </c>
      <c r="AN52" s="391">
        <f t="shared" si="25"/>
        <v>1.3456412429215248</v>
      </c>
      <c r="AO52" s="391">
        <f t="shared" si="26"/>
        <v>4.8126445337971857</v>
      </c>
      <c r="AP52" s="397">
        <f t="shared" si="27"/>
        <v>4.382175856929952</v>
      </c>
      <c r="AQ52" s="10"/>
    </row>
    <row r="53" spans="1:43" x14ac:dyDescent="0.2">
      <c r="A53" s="806">
        <v>2049</v>
      </c>
      <c r="B53" s="338">
        <v>24.167490000000001</v>
      </c>
      <c r="C53" s="338">
        <v>43.591911000000003</v>
      </c>
      <c r="D53" s="338">
        <v>28.421361999999998</v>
      </c>
      <c r="E53" s="338">
        <v>21.766680000000001</v>
      </c>
      <c r="F53" s="338">
        <v>28.076466</v>
      </c>
      <c r="G53" s="338">
        <v>16.223696</v>
      </c>
      <c r="H53" s="338">
        <v>11.231529999999999</v>
      </c>
      <c r="I53" s="338">
        <v>34.011459000000002</v>
      </c>
      <c r="J53" s="1154">
        <f t="shared" si="0"/>
        <v>30.700447093889697</v>
      </c>
      <c r="K53" s="396">
        <v>2049</v>
      </c>
      <c r="L53" s="391">
        <f t="shared" si="2"/>
        <v>3.352030863</v>
      </c>
      <c r="M53" s="391">
        <f t="shared" si="3"/>
        <v>6.0461980557000006</v>
      </c>
      <c r="N53" s="391">
        <f t="shared" si="4"/>
        <v>3.9420429093999996</v>
      </c>
      <c r="O53" s="391">
        <f t="shared" si="5"/>
        <v>3.0190385160000002</v>
      </c>
      <c r="P53" s="391">
        <f t="shared" si="6"/>
        <v>3.8942058342000001</v>
      </c>
      <c r="Q53" s="391">
        <f t="shared" si="7"/>
        <v>2.2502266351999998</v>
      </c>
      <c r="R53" s="391">
        <f t="shared" si="8"/>
        <v>1.5578132109999998</v>
      </c>
      <c r="S53" s="391">
        <f t="shared" si="9"/>
        <v>4.7309044396005095</v>
      </c>
      <c r="T53" s="397">
        <f t="shared" si="10"/>
        <v>4.2581520119225011</v>
      </c>
      <c r="U53" s="1218">
        <f>'S-curves'!AN38</f>
        <v>1.0028649482287073</v>
      </c>
      <c r="W53" s="806">
        <v>2049</v>
      </c>
      <c r="X53" s="338">
        <f t="shared" si="12"/>
        <v>18.928383776223779</v>
      </c>
      <c r="Y53" s="338">
        <f t="shared" si="13"/>
        <v>46.3659417</v>
      </c>
      <c r="Z53" s="338">
        <f t="shared" si="14"/>
        <v>27.109016910674029</v>
      </c>
      <c r="AA53" s="338">
        <f t="shared" si="33"/>
        <v>21.766680000000001</v>
      </c>
      <c r="AB53" s="338">
        <f t="shared" si="15"/>
        <v>26.805790934315361</v>
      </c>
      <c r="AC53" s="338">
        <f t="shared" si="34"/>
        <v>16.223696</v>
      </c>
      <c r="AD53" s="338">
        <f t="shared" si="16"/>
        <v>9.7205618385650219</v>
      </c>
      <c r="AE53" s="338">
        <f t="shared" si="35"/>
        <v>34.011459000000002</v>
      </c>
      <c r="AF53" s="499">
        <f t="shared" si="17"/>
        <v>30.700447093889697</v>
      </c>
      <c r="AG53" s="396">
        <v>2049</v>
      </c>
      <c r="AH53" s="391">
        <f t="shared" si="19"/>
        <v>2.6253668297622381</v>
      </c>
      <c r="AI53" s="391">
        <f t="shared" si="20"/>
        <v>6.4309561137899998</v>
      </c>
      <c r="AJ53" s="391">
        <f t="shared" si="21"/>
        <v>3.7600206455104876</v>
      </c>
      <c r="AK53" s="391">
        <f t="shared" si="22"/>
        <v>3.0190385160000002</v>
      </c>
      <c r="AL53" s="391">
        <f t="shared" si="23"/>
        <v>3.7179632025895408</v>
      </c>
      <c r="AM53" s="391">
        <f t="shared" si="24"/>
        <v>2.2502266351999998</v>
      </c>
      <c r="AN53" s="391">
        <f t="shared" si="25"/>
        <v>1.3482419270089685</v>
      </c>
      <c r="AO53" s="391">
        <f t="shared" si="26"/>
        <v>4.7309044396005095</v>
      </c>
      <c r="AP53" s="397">
        <f t="shared" si="27"/>
        <v>4.2581520119225011</v>
      </c>
      <c r="AQ53" s="10"/>
    </row>
    <row r="54" spans="1:43" ht="13.5" thickBot="1" x14ac:dyDescent="0.25">
      <c r="A54" s="808">
        <v>2050</v>
      </c>
      <c r="B54" s="411">
        <v>24.36318</v>
      </c>
      <c r="C54" s="411">
        <v>43.892014000000003</v>
      </c>
      <c r="D54" s="411">
        <v>28.630436</v>
      </c>
      <c r="E54" s="411">
        <v>21.858753</v>
      </c>
      <c r="F54" s="411">
        <v>28.233941999999999</v>
      </c>
      <c r="G54" s="411">
        <v>15.660544</v>
      </c>
      <c r="H54" s="411">
        <v>11.277456000000001</v>
      </c>
      <c r="I54" s="411">
        <v>33.779319999999998</v>
      </c>
      <c r="J54" s="1155">
        <f t="shared" si="0"/>
        <v>29.806259314456035</v>
      </c>
      <c r="K54" s="400">
        <v>2050</v>
      </c>
      <c r="L54" s="401">
        <f t="shared" si="2"/>
        <v>3.3791730659999999</v>
      </c>
      <c r="M54" s="401">
        <f t="shared" si="3"/>
        <v>6.0878223418000008</v>
      </c>
      <c r="N54" s="401">
        <f t="shared" si="4"/>
        <v>3.9710414731999997</v>
      </c>
      <c r="O54" s="401">
        <f t="shared" si="5"/>
        <v>3.0318090410999998</v>
      </c>
      <c r="P54" s="401">
        <f t="shared" si="6"/>
        <v>3.9160477553999997</v>
      </c>
      <c r="Q54" s="401">
        <f t="shared" si="7"/>
        <v>2.1721174528000002</v>
      </c>
      <c r="R54" s="401">
        <f t="shared" si="8"/>
        <v>1.5641831472000001</v>
      </c>
      <c r="S54" s="401">
        <f t="shared" si="9"/>
        <v>4.6872794878531119</v>
      </c>
      <c r="T54" s="402">
        <f t="shared" si="10"/>
        <v>4.134128166915052</v>
      </c>
      <c r="U54" s="1218">
        <f>'S-curves'!AN39</f>
        <v>1.000445617595592</v>
      </c>
      <c r="W54" s="808">
        <v>2050</v>
      </c>
      <c r="X54" s="411">
        <f t="shared" si="12"/>
        <v>19.081651468531472</v>
      </c>
      <c r="Y54" s="411">
        <f t="shared" si="13"/>
        <v>46.685142163636364</v>
      </c>
      <c r="Z54" s="411">
        <f t="shared" si="14"/>
        <v>27.30843700185693</v>
      </c>
      <c r="AA54" s="411">
        <f t="shared" si="33"/>
        <v>21.858753</v>
      </c>
      <c r="AB54" s="411">
        <f t="shared" si="15"/>
        <v>26.956139939534616</v>
      </c>
      <c r="AC54" s="411">
        <f t="shared" si="34"/>
        <v>15.660544</v>
      </c>
      <c r="AD54" s="411">
        <f t="shared" si="16"/>
        <v>9.7603094529147985</v>
      </c>
      <c r="AE54" s="411">
        <f t="shared" si="35"/>
        <v>33.779319999999998</v>
      </c>
      <c r="AF54" s="500">
        <f t="shared" si="17"/>
        <v>29.806259314456035</v>
      </c>
      <c r="AG54" s="400">
        <v>2050</v>
      </c>
      <c r="AH54" s="401">
        <f t="shared" si="19"/>
        <v>2.6466250586853155</v>
      </c>
      <c r="AI54" s="401">
        <f t="shared" si="20"/>
        <v>6.4752292180963638</v>
      </c>
      <c r="AJ54" s="401">
        <f t="shared" si="21"/>
        <v>3.7876802121575563</v>
      </c>
      <c r="AK54" s="401">
        <f t="shared" si="22"/>
        <v>3.0318090410999998</v>
      </c>
      <c r="AL54" s="401">
        <f t="shared" si="23"/>
        <v>3.7388166096134512</v>
      </c>
      <c r="AM54" s="401">
        <f t="shared" si="24"/>
        <v>2.1721174528000002</v>
      </c>
      <c r="AN54" s="401">
        <f t="shared" si="25"/>
        <v>1.3537549211192825</v>
      </c>
      <c r="AO54" s="401">
        <f t="shared" si="26"/>
        <v>4.6872794878531119</v>
      </c>
      <c r="AP54" s="402">
        <f t="shared" si="27"/>
        <v>4.134128166915052</v>
      </c>
      <c r="AQ54" s="10"/>
    </row>
    <row r="55" spans="1:43" ht="12.75" hidden="1" customHeight="1" x14ac:dyDescent="0.2">
      <c r="A55" s="3">
        <v>2051</v>
      </c>
      <c r="B55" s="61" t="e">
        <f>+(B$44/#REF!)^0.2*#REF!</f>
        <v>#REF!</v>
      </c>
      <c r="C55" s="62" t="e">
        <f>+(#REF!/#REF!)^0.2*#REF!</f>
        <v>#REF!</v>
      </c>
      <c r="D55" s="63" t="e">
        <f>+(#REF!/#REF!)^0.2*#REF!</f>
        <v>#REF!</v>
      </c>
      <c r="E55" s="63" t="e">
        <f>+(#REF!/#REF!)^0.2*#REF!</f>
        <v>#REF!</v>
      </c>
      <c r="F55" s="63" t="e">
        <f>+(#REF!/#REF!)^0.2*#REF!</f>
        <v>#REF!</v>
      </c>
      <c r="G55" s="63" t="e">
        <f>+(#REF!/#REF!)^0.2*#REF!</f>
        <v>#REF!</v>
      </c>
      <c r="H55" s="63"/>
      <c r="I55" s="63"/>
      <c r="J55" s="63"/>
      <c r="K55" s="62"/>
      <c r="L55" s="64" t="e">
        <f t="shared" ref="L55:L58" si="37">+B55/8</f>
        <v>#REF!</v>
      </c>
      <c r="M55" s="65" t="e">
        <f t="shared" ref="M55:M58" si="38">+C55/8</f>
        <v>#REF!</v>
      </c>
      <c r="N55" s="56" t="e">
        <f t="shared" ref="N55:N58" si="39">+D55/8</f>
        <v>#REF!</v>
      </c>
      <c r="O55" s="56" t="e">
        <f t="shared" ref="O55:O58" si="40">+E55/8</f>
        <v>#REF!</v>
      </c>
      <c r="P55" s="56" t="e">
        <f t="shared" ref="P55:P58" si="41">+F55/8</f>
        <v>#REF!</v>
      </c>
      <c r="Q55" s="56"/>
      <c r="R55" s="56"/>
      <c r="S55" s="56" t="e">
        <f>+G55/8</f>
        <v>#REF!</v>
      </c>
      <c r="T55" s="56"/>
      <c r="W55" s="3">
        <v>2051</v>
      </c>
      <c r="X55" s="61" t="e">
        <f t="shared" si="12"/>
        <v>#REF!</v>
      </c>
      <c r="Y55" s="62" t="e">
        <f t="shared" si="13"/>
        <v>#REF!</v>
      </c>
      <c r="Z55" s="63" t="e">
        <f t="shared" si="14"/>
        <v>#REF!</v>
      </c>
      <c r="AA55" s="63" t="e">
        <f>+(#REF!/#REF!)^0.2*#REF!</f>
        <v>#REF!</v>
      </c>
      <c r="AB55" s="63" t="e">
        <f t="shared" si="15"/>
        <v>#REF!</v>
      </c>
      <c r="AC55" s="63" t="e">
        <f>+(#REF!/#REF!)^0.2*#REF!</f>
        <v>#REF!</v>
      </c>
      <c r="AD55" s="63"/>
      <c r="AE55" s="63"/>
      <c r="AF55" s="63"/>
      <c r="AG55" s="62"/>
      <c r="AH55" s="64" t="e">
        <f t="shared" ref="AH55:AL58" si="42">+X55/8</f>
        <v>#REF!</v>
      </c>
      <c r="AI55" s="65" t="e">
        <f t="shared" si="42"/>
        <v>#REF!</v>
      </c>
      <c r="AJ55" s="56" t="e">
        <f t="shared" si="42"/>
        <v>#REF!</v>
      </c>
      <c r="AK55" s="56" t="e">
        <f t="shared" si="42"/>
        <v>#REF!</v>
      </c>
      <c r="AL55" s="56" t="e">
        <f t="shared" si="42"/>
        <v>#REF!</v>
      </c>
      <c r="AM55" s="56"/>
      <c r="AN55" s="56"/>
      <c r="AO55" s="56">
        <f t="shared" ref="AO55:AO58" si="43">U55*AE55*HVDiesel/10^6</f>
        <v>0</v>
      </c>
      <c r="AP55" s="56"/>
    </row>
    <row r="56" spans="1:43" ht="12.75" hidden="1" customHeight="1" x14ac:dyDescent="0.2">
      <c r="A56" s="66">
        <v>2052</v>
      </c>
      <c r="B56" s="60" t="e">
        <f>+(B$44/#REF!)^0.2*B55</f>
        <v>#REF!</v>
      </c>
      <c r="C56" s="62" t="e">
        <f>+(#REF!/#REF!)^0.2*C55</f>
        <v>#REF!</v>
      </c>
      <c r="D56" s="63" t="e">
        <f>+(#REF!/#REF!)^0.2*D55</f>
        <v>#REF!</v>
      </c>
      <c r="E56" s="63" t="e">
        <f>+(#REF!/#REF!)^0.2*E55</f>
        <v>#REF!</v>
      </c>
      <c r="F56" s="63" t="e">
        <f>+(#REF!/#REF!)^0.2*F55</f>
        <v>#REF!</v>
      </c>
      <c r="G56" s="63" t="e">
        <f>+(#REF!/#REF!)^0.2*G55</f>
        <v>#REF!</v>
      </c>
      <c r="H56" s="63"/>
      <c r="I56" s="63"/>
      <c r="J56" s="63"/>
      <c r="K56" s="62"/>
      <c r="L56" s="64" t="e">
        <f t="shared" si="37"/>
        <v>#REF!</v>
      </c>
      <c r="M56" s="59" t="e">
        <f t="shared" si="38"/>
        <v>#REF!</v>
      </c>
      <c r="N56" s="56" t="e">
        <f t="shared" si="39"/>
        <v>#REF!</v>
      </c>
      <c r="O56" s="56" t="e">
        <f t="shared" si="40"/>
        <v>#REF!</v>
      </c>
      <c r="P56" s="56" t="e">
        <f t="shared" si="41"/>
        <v>#REF!</v>
      </c>
      <c r="Q56" s="56"/>
      <c r="R56" s="56"/>
      <c r="S56" s="56" t="e">
        <f>+G56/8</f>
        <v>#REF!</v>
      </c>
      <c r="T56" s="56"/>
      <c r="W56" s="66">
        <v>2052</v>
      </c>
      <c r="X56" s="60" t="e">
        <f t="shared" si="12"/>
        <v>#REF!</v>
      </c>
      <c r="Y56" s="62" t="e">
        <f t="shared" si="13"/>
        <v>#REF!</v>
      </c>
      <c r="Z56" s="63" t="e">
        <f t="shared" si="14"/>
        <v>#REF!</v>
      </c>
      <c r="AA56" s="63" t="e">
        <f>+(#REF!/#REF!)^0.2*AA55</f>
        <v>#REF!</v>
      </c>
      <c r="AB56" s="63" t="e">
        <f t="shared" si="15"/>
        <v>#REF!</v>
      </c>
      <c r="AC56" s="63" t="e">
        <f>+(#REF!/#REF!)^0.2*AC55</f>
        <v>#REF!</v>
      </c>
      <c r="AD56" s="63"/>
      <c r="AE56" s="63"/>
      <c r="AF56" s="63"/>
      <c r="AG56" s="62"/>
      <c r="AH56" s="64" t="e">
        <f t="shared" si="42"/>
        <v>#REF!</v>
      </c>
      <c r="AI56" s="59" t="e">
        <f t="shared" si="42"/>
        <v>#REF!</v>
      </c>
      <c r="AJ56" s="56" t="e">
        <f t="shared" si="42"/>
        <v>#REF!</v>
      </c>
      <c r="AK56" s="56" t="e">
        <f t="shared" si="42"/>
        <v>#REF!</v>
      </c>
      <c r="AL56" s="56" t="e">
        <f t="shared" si="42"/>
        <v>#REF!</v>
      </c>
      <c r="AM56" s="56"/>
      <c r="AN56" s="56"/>
      <c r="AO56" s="56">
        <f t="shared" si="43"/>
        <v>0</v>
      </c>
      <c r="AP56" s="56"/>
    </row>
    <row r="57" spans="1:43" ht="12.75" hidden="1" customHeight="1" x14ac:dyDescent="0.2">
      <c r="A57" s="3">
        <v>2053</v>
      </c>
      <c r="B57" s="60" t="e">
        <f>+(B$44/#REF!)^0.2*B56</f>
        <v>#REF!</v>
      </c>
      <c r="C57" s="62" t="e">
        <f>+(#REF!/#REF!)^0.2*C56</f>
        <v>#REF!</v>
      </c>
      <c r="D57" s="63" t="e">
        <f>+(#REF!/#REF!)^0.2*D56</f>
        <v>#REF!</v>
      </c>
      <c r="E57" s="63" t="e">
        <f>+(#REF!/#REF!)^0.2*E56</f>
        <v>#REF!</v>
      </c>
      <c r="F57" s="63" t="e">
        <f>+(#REF!/#REF!)^0.2*F56</f>
        <v>#REF!</v>
      </c>
      <c r="G57" s="63" t="e">
        <f>+(#REF!/#REF!)^0.2*G56</f>
        <v>#REF!</v>
      </c>
      <c r="H57" s="63"/>
      <c r="I57" s="63"/>
      <c r="J57" s="63"/>
      <c r="K57" s="62"/>
      <c r="L57" s="64" t="e">
        <f t="shared" si="37"/>
        <v>#REF!</v>
      </c>
      <c r="M57" s="59" t="e">
        <f t="shared" si="38"/>
        <v>#REF!</v>
      </c>
      <c r="N57" s="56" t="e">
        <f t="shared" si="39"/>
        <v>#REF!</v>
      </c>
      <c r="O57" s="56" t="e">
        <f t="shared" si="40"/>
        <v>#REF!</v>
      </c>
      <c r="P57" s="56" t="e">
        <f t="shared" si="41"/>
        <v>#REF!</v>
      </c>
      <c r="Q57" s="56"/>
      <c r="R57" s="56"/>
      <c r="S57" s="56" t="e">
        <f>+G57/8</f>
        <v>#REF!</v>
      </c>
      <c r="T57" s="56"/>
      <c r="W57" s="3">
        <v>2053</v>
      </c>
      <c r="X57" s="60" t="e">
        <f t="shared" si="12"/>
        <v>#REF!</v>
      </c>
      <c r="Y57" s="62" t="e">
        <f t="shared" si="13"/>
        <v>#REF!</v>
      </c>
      <c r="Z57" s="63" t="e">
        <f t="shared" si="14"/>
        <v>#REF!</v>
      </c>
      <c r="AA57" s="63" t="e">
        <f>+(#REF!/#REF!)^0.2*AA56</f>
        <v>#REF!</v>
      </c>
      <c r="AB57" s="63" t="e">
        <f t="shared" si="15"/>
        <v>#REF!</v>
      </c>
      <c r="AC57" s="63" t="e">
        <f>+(#REF!/#REF!)^0.2*AC56</f>
        <v>#REF!</v>
      </c>
      <c r="AD57" s="63"/>
      <c r="AE57" s="63"/>
      <c r="AF57" s="63"/>
      <c r="AG57" s="62"/>
      <c r="AH57" s="64" t="e">
        <f t="shared" si="42"/>
        <v>#REF!</v>
      </c>
      <c r="AI57" s="59" t="e">
        <f t="shared" si="42"/>
        <v>#REF!</v>
      </c>
      <c r="AJ57" s="56" t="e">
        <f t="shared" si="42"/>
        <v>#REF!</v>
      </c>
      <c r="AK57" s="56" t="e">
        <f t="shared" si="42"/>
        <v>#REF!</v>
      </c>
      <c r="AL57" s="56" t="e">
        <f t="shared" si="42"/>
        <v>#REF!</v>
      </c>
      <c r="AM57" s="56"/>
      <c r="AN57" s="56"/>
      <c r="AO57" s="56">
        <f t="shared" si="43"/>
        <v>0</v>
      </c>
      <c r="AP57" s="56"/>
    </row>
    <row r="58" spans="1:43" ht="12.75" hidden="1" customHeight="1" x14ac:dyDescent="0.2">
      <c r="A58" s="66">
        <v>2054</v>
      </c>
      <c r="B58" s="60" t="e">
        <f>+(B$44/#REF!)^0.2*B57</f>
        <v>#REF!</v>
      </c>
      <c r="C58" s="62" t="e">
        <f>+(#REF!/#REF!)^0.2*C57</f>
        <v>#REF!</v>
      </c>
      <c r="D58" s="63" t="e">
        <f>+(#REF!/#REF!)^0.2*D57</f>
        <v>#REF!</v>
      </c>
      <c r="E58" s="63" t="e">
        <f>+(#REF!/#REF!)^0.2*E57</f>
        <v>#REF!</v>
      </c>
      <c r="F58" s="63" t="e">
        <f>+(#REF!/#REF!)^0.2*F57</f>
        <v>#REF!</v>
      </c>
      <c r="G58" s="63" t="e">
        <f>+(#REF!/#REF!)^0.2*G57</f>
        <v>#REF!</v>
      </c>
      <c r="H58" s="63"/>
      <c r="I58" s="63"/>
      <c r="J58" s="63"/>
      <c r="K58" s="62"/>
      <c r="L58" s="64" t="e">
        <f t="shared" si="37"/>
        <v>#REF!</v>
      </c>
      <c r="M58" s="59" t="e">
        <f t="shared" si="38"/>
        <v>#REF!</v>
      </c>
      <c r="N58" s="56" t="e">
        <f t="shared" si="39"/>
        <v>#REF!</v>
      </c>
      <c r="O58" s="56" t="e">
        <f t="shared" si="40"/>
        <v>#REF!</v>
      </c>
      <c r="P58" s="56" t="e">
        <f t="shared" si="41"/>
        <v>#REF!</v>
      </c>
      <c r="Q58" s="56"/>
      <c r="R58" s="56"/>
      <c r="S58" s="56" t="e">
        <f>+G58/8</f>
        <v>#REF!</v>
      </c>
      <c r="T58" s="56"/>
      <c r="W58" s="66">
        <v>2054</v>
      </c>
      <c r="X58" s="60" t="e">
        <f t="shared" si="12"/>
        <v>#REF!</v>
      </c>
      <c r="Y58" s="62" t="e">
        <f t="shared" si="13"/>
        <v>#REF!</v>
      </c>
      <c r="Z58" s="63" t="e">
        <f t="shared" si="14"/>
        <v>#REF!</v>
      </c>
      <c r="AA58" s="63" t="e">
        <f>+(#REF!/#REF!)^0.2*AA57</f>
        <v>#REF!</v>
      </c>
      <c r="AB58" s="63" t="e">
        <f t="shared" si="15"/>
        <v>#REF!</v>
      </c>
      <c r="AC58" s="63" t="e">
        <f>+(#REF!/#REF!)^0.2*AC57</f>
        <v>#REF!</v>
      </c>
      <c r="AD58" s="63"/>
      <c r="AE58" s="63"/>
      <c r="AF58" s="63"/>
      <c r="AG58" s="62"/>
      <c r="AH58" s="64" t="e">
        <f t="shared" si="42"/>
        <v>#REF!</v>
      </c>
      <c r="AI58" s="59" t="e">
        <f t="shared" si="42"/>
        <v>#REF!</v>
      </c>
      <c r="AJ58" s="56" t="e">
        <f t="shared" si="42"/>
        <v>#REF!</v>
      </c>
      <c r="AK58" s="56" t="e">
        <f t="shared" si="42"/>
        <v>#REF!</v>
      </c>
      <c r="AL58" s="56" t="e">
        <f t="shared" si="42"/>
        <v>#REF!</v>
      </c>
      <c r="AM58" s="56"/>
      <c r="AN58" s="56"/>
      <c r="AO58" s="56">
        <f t="shared" si="43"/>
        <v>0</v>
      </c>
      <c r="AP58" s="56"/>
    </row>
    <row r="59" spans="1:43" x14ac:dyDescent="0.2">
      <c r="C59" s="56"/>
      <c r="F59" s="63"/>
      <c r="G59" s="67"/>
      <c r="H59" s="67"/>
      <c r="I59" s="67"/>
      <c r="J59" s="67"/>
      <c r="K59" s="337"/>
      <c r="L59" s="10"/>
      <c r="M59" s="10"/>
      <c r="N59" s="10"/>
      <c r="O59" s="10"/>
      <c r="P59" s="10"/>
      <c r="Q59" s="10"/>
      <c r="R59" s="10"/>
      <c r="S59" s="10"/>
      <c r="T59" s="10"/>
      <c r="Y59" s="56"/>
      <c r="AA59" s="7"/>
      <c r="AB59" s="63"/>
      <c r="AC59" s="67"/>
      <c r="AD59" s="67"/>
      <c r="AE59" s="67"/>
      <c r="AF59" s="67"/>
      <c r="AG59" s="337"/>
      <c r="AH59" s="10"/>
      <c r="AI59" s="10"/>
      <c r="AJ59" s="10"/>
      <c r="AK59" s="10"/>
      <c r="AL59" s="10"/>
      <c r="AM59" s="10"/>
      <c r="AN59" s="10"/>
      <c r="AO59" s="10"/>
      <c r="AP59" s="10"/>
    </row>
    <row r="60" spans="1:43" x14ac:dyDescent="0.2">
      <c r="A60" s="55" t="s">
        <v>428</v>
      </c>
      <c r="F60" s="63"/>
      <c r="J60" s="55" t="s">
        <v>446</v>
      </c>
      <c r="W60" s="55"/>
      <c r="AA60" s="7"/>
      <c r="AB60" s="63"/>
      <c r="AC60" s="7"/>
      <c r="AD60" s="7"/>
      <c r="AE60" s="7"/>
      <c r="AF60" s="55"/>
      <c r="AG60" s="52"/>
    </row>
    <row r="61" spans="1:43" ht="13.5" thickBot="1" x14ac:dyDescent="0.25">
      <c r="A61" s="418" t="s">
        <v>429</v>
      </c>
      <c r="F61" s="63"/>
      <c r="K61" s="7" t="s">
        <v>351</v>
      </c>
      <c r="W61" s="418"/>
      <c r="AA61" s="7"/>
      <c r="AB61" s="63"/>
      <c r="AC61" s="7"/>
      <c r="AD61" s="7"/>
      <c r="AF61" s="52"/>
      <c r="AG61" s="7" t="s">
        <v>351</v>
      </c>
    </row>
    <row r="62" spans="1:43" x14ac:dyDescent="0.2">
      <c r="A62" s="68" t="s">
        <v>7</v>
      </c>
      <c r="I62" s="1504">
        <f t="shared" ref="I62:I105" si="44">I11*U11/kWhperBtu/10^6</f>
        <v>0.21840652403862559</v>
      </c>
      <c r="J62" s="804">
        <v>2007</v>
      </c>
      <c r="K62" s="499">
        <f t="shared" ref="K62:K68" si="45">K63</f>
        <v>12</v>
      </c>
      <c r="W62" s="68"/>
      <c r="AA62" s="7"/>
      <c r="AB62" s="7"/>
      <c r="AC62" s="7"/>
      <c r="AD62" s="7"/>
      <c r="AF62" s="1128">
        <v>2007</v>
      </c>
      <c r="AG62" s="499">
        <f>K62</f>
        <v>12</v>
      </c>
    </row>
    <row r="63" spans="1:43" x14ac:dyDescent="0.2">
      <c r="A63" s="3" t="s">
        <v>8</v>
      </c>
      <c r="I63" s="1504">
        <f t="shared" si="44"/>
        <v>0.28366646876172924</v>
      </c>
      <c r="J63" s="334">
        <v>2008</v>
      </c>
      <c r="K63" s="499">
        <f t="shared" si="45"/>
        <v>12</v>
      </c>
      <c r="AA63" s="7"/>
      <c r="AB63" s="7"/>
      <c r="AC63" s="7"/>
      <c r="AD63" s="7"/>
      <c r="AF63" s="336">
        <v>2008</v>
      </c>
      <c r="AG63" s="499">
        <f t="shared" ref="AG63:AG105" si="46">K63</f>
        <v>12</v>
      </c>
    </row>
    <row r="64" spans="1:43" x14ac:dyDescent="0.2">
      <c r="I64" s="1504">
        <f t="shared" si="44"/>
        <v>0.42508905039751599</v>
      </c>
      <c r="J64" s="334">
        <v>2009</v>
      </c>
      <c r="K64" s="499">
        <f t="shared" si="45"/>
        <v>12</v>
      </c>
      <c r="AF64" s="336">
        <v>2009</v>
      </c>
      <c r="AG64" s="499">
        <f t="shared" si="46"/>
        <v>12</v>
      </c>
    </row>
    <row r="65" spans="2:33" x14ac:dyDescent="0.2">
      <c r="I65" s="1504">
        <f t="shared" si="44"/>
        <v>0.30570905926911662</v>
      </c>
      <c r="J65" s="335">
        <v>2010</v>
      </c>
      <c r="K65" s="499">
        <f t="shared" si="45"/>
        <v>12</v>
      </c>
      <c r="AF65" s="336">
        <v>2010</v>
      </c>
      <c r="AG65" s="499">
        <f t="shared" si="46"/>
        <v>12</v>
      </c>
    </row>
    <row r="66" spans="2:33" x14ac:dyDescent="0.2">
      <c r="I66" s="1504">
        <f t="shared" si="44"/>
        <v>0.24150435049646846</v>
      </c>
      <c r="J66" s="336">
        <v>2011</v>
      </c>
      <c r="K66" s="499">
        <f t="shared" si="45"/>
        <v>12</v>
      </c>
      <c r="AF66" s="336">
        <v>2011</v>
      </c>
      <c r="AG66" s="499">
        <f t="shared" si="46"/>
        <v>12</v>
      </c>
    </row>
    <row r="67" spans="2:33" x14ac:dyDescent="0.2">
      <c r="I67" s="1504">
        <f t="shared" si="44"/>
        <v>0.2064277476370833</v>
      </c>
      <c r="J67" s="806">
        <v>2012</v>
      </c>
      <c r="K67" s="499">
        <f t="shared" si="45"/>
        <v>12</v>
      </c>
      <c r="AF67" s="806">
        <v>2012</v>
      </c>
      <c r="AG67" s="499">
        <f t="shared" si="46"/>
        <v>12</v>
      </c>
    </row>
    <row r="68" spans="2:33" x14ac:dyDescent="0.2">
      <c r="I68" s="1504">
        <f t="shared" si="44"/>
        <v>0.21159537311905008</v>
      </c>
      <c r="J68" s="806">
        <v>2013</v>
      </c>
      <c r="K68" s="499">
        <f t="shared" si="45"/>
        <v>12</v>
      </c>
      <c r="AF68" s="806">
        <v>2013</v>
      </c>
      <c r="AG68" s="499">
        <f t="shared" si="46"/>
        <v>12</v>
      </c>
    </row>
    <row r="69" spans="2:33" x14ac:dyDescent="0.2">
      <c r="I69" s="1504">
        <f t="shared" si="44"/>
        <v>0.21961396935885627</v>
      </c>
      <c r="J69" s="806">
        <v>2014</v>
      </c>
      <c r="K69" s="499">
        <f>K70</f>
        <v>12</v>
      </c>
      <c r="AF69" s="806">
        <v>2014</v>
      </c>
      <c r="AG69" s="499">
        <f t="shared" si="46"/>
        <v>12</v>
      </c>
    </row>
    <row r="70" spans="2:33" x14ac:dyDescent="0.2">
      <c r="I70" s="1504">
        <f t="shared" si="44"/>
        <v>0.20121805029515133</v>
      </c>
      <c r="J70" s="807">
        <v>2015</v>
      </c>
      <c r="K70" s="1346">
        <v>12</v>
      </c>
      <c r="AF70" s="806">
        <v>2015</v>
      </c>
      <c r="AG70" s="499">
        <f t="shared" si="46"/>
        <v>12</v>
      </c>
    </row>
    <row r="71" spans="2:33" x14ac:dyDescent="0.2">
      <c r="B71" s="69"/>
      <c r="D71" s="69"/>
      <c r="I71" s="1504">
        <f t="shared" si="44"/>
        <v>0.19712295356058279</v>
      </c>
      <c r="J71" s="806">
        <v>2016</v>
      </c>
      <c r="K71" s="499">
        <f>K70+($K$75-$K$70)/($J$75-$J$70)</f>
        <v>11.5</v>
      </c>
      <c r="AF71" s="806">
        <v>2016</v>
      </c>
      <c r="AG71" s="498">
        <f t="shared" si="46"/>
        <v>11.5</v>
      </c>
    </row>
    <row r="72" spans="2:33" x14ac:dyDescent="0.2">
      <c r="B72" s="69"/>
      <c r="D72" s="69"/>
      <c r="I72" s="1504">
        <f t="shared" si="44"/>
        <v>0.19859727710103389</v>
      </c>
      <c r="J72" s="806">
        <v>2017</v>
      </c>
      <c r="K72" s="499">
        <f>K71+($K$75-$K$70)/($J$75-$J$70)</f>
        <v>11</v>
      </c>
      <c r="AF72" s="806">
        <v>2017</v>
      </c>
      <c r="AG72" s="499">
        <f t="shared" si="46"/>
        <v>11</v>
      </c>
    </row>
    <row r="73" spans="2:33" x14ac:dyDescent="0.2">
      <c r="B73" s="69"/>
      <c r="D73" s="69"/>
      <c r="I73" s="1504">
        <f t="shared" si="44"/>
        <v>0.22716396765277921</v>
      </c>
      <c r="J73" s="806">
        <v>2018</v>
      </c>
      <c r="K73" s="499">
        <f>K72+($K$75-$K$70)/($J$75-$J$70)</f>
        <v>10.5</v>
      </c>
      <c r="AF73" s="806">
        <v>2018</v>
      </c>
      <c r="AG73" s="499">
        <f t="shared" si="46"/>
        <v>10.5</v>
      </c>
    </row>
    <row r="74" spans="2:33" x14ac:dyDescent="0.2">
      <c r="B74" s="69"/>
      <c r="D74" s="69"/>
      <c r="I74" s="1504">
        <f t="shared" si="44"/>
        <v>0.22692597672910911</v>
      </c>
      <c r="J74" s="806">
        <v>2019</v>
      </c>
      <c r="K74" s="1346">
        <v>10</v>
      </c>
      <c r="AF74" s="806">
        <v>2019</v>
      </c>
      <c r="AG74" s="499">
        <f t="shared" si="46"/>
        <v>10</v>
      </c>
    </row>
    <row r="75" spans="2:33" x14ac:dyDescent="0.2">
      <c r="B75" s="69"/>
      <c r="D75" s="69"/>
      <c r="I75" s="1504">
        <f t="shared" si="44"/>
        <v>0.23143129627733988</v>
      </c>
      <c r="J75" s="807">
        <v>2020</v>
      </c>
      <c r="K75" s="499">
        <f>K74+($K$80-$K$74)/($J$80-$J$74)</f>
        <v>9.5</v>
      </c>
      <c r="AF75" s="806">
        <v>2020</v>
      </c>
      <c r="AG75" s="499">
        <f t="shared" si="46"/>
        <v>9.5</v>
      </c>
    </row>
    <row r="76" spans="2:33" x14ac:dyDescent="0.2">
      <c r="B76" s="69"/>
      <c r="D76" s="69"/>
      <c r="I76" s="1504">
        <f t="shared" si="44"/>
        <v>0.23183240181526599</v>
      </c>
      <c r="J76" s="806">
        <v>2021</v>
      </c>
      <c r="K76" s="499">
        <f t="shared" ref="K76:K79" si="47">K75+($K$80-$K$74)/($J$80-$J$74)</f>
        <v>9</v>
      </c>
      <c r="AF76" s="806">
        <v>2021</v>
      </c>
      <c r="AG76" s="499">
        <f t="shared" si="46"/>
        <v>9</v>
      </c>
    </row>
    <row r="77" spans="2:33" x14ac:dyDescent="0.2">
      <c r="B77" s="69"/>
      <c r="D77" s="69"/>
      <c r="I77" s="1504">
        <f t="shared" si="44"/>
        <v>0.23448771283311159</v>
      </c>
      <c r="J77" s="806">
        <v>2022</v>
      </c>
      <c r="K77" s="499">
        <f t="shared" si="47"/>
        <v>8.5</v>
      </c>
      <c r="AF77" s="806">
        <v>2022</v>
      </c>
      <c r="AG77" s="499">
        <f t="shared" si="46"/>
        <v>8.5</v>
      </c>
    </row>
    <row r="78" spans="2:33" x14ac:dyDescent="0.2">
      <c r="B78" s="69"/>
      <c r="D78" s="69"/>
      <c r="I78" s="1504">
        <f t="shared" si="44"/>
        <v>0.2381520455863787</v>
      </c>
      <c r="J78" s="806">
        <v>2023</v>
      </c>
      <c r="K78" s="499">
        <f t="shared" si="47"/>
        <v>8</v>
      </c>
      <c r="AF78" s="806">
        <v>2023</v>
      </c>
      <c r="AG78" s="499">
        <f t="shared" si="46"/>
        <v>8</v>
      </c>
    </row>
    <row r="79" spans="2:33" x14ac:dyDescent="0.2">
      <c r="B79" s="69"/>
      <c r="D79" s="69"/>
      <c r="I79" s="1504">
        <f t="shared" si="44"/>
        <v>0.24148547446002663</v>
      </c>
      <c r="J79" s="806">
        <v>2024</v>
      </c>
      <c r="K79" s="499">
        <f t="shared" si="47"/>
        <v>7.5</v>
      </c>
      <c r="AF79" s="806">
        <v>2024</v>
      </c>
      <c r="AG79" s="499">
        <f t="shared" si="46"/>
        <v>7.5</v>
      </c>
    </row>
    <row r="80" spans="2:33" x14ac:dyDescent="0.2">
      <c r="B80" s="69"/>
      <c r="D80" s="69"/>
      <c r="I80" s="1504">
        <f t="shared" si="44"/>
        <v>0.24662052069471457</v>
      </c>
      <c r="J80" s="807">
        <v>2025</v>
      </c>
      <c r="K80" s="1346">
        <v>7</v>
      </c>
      <c r="AF80" s="806">
        <v>2025</v>
      </c>
      <c r="AG80" s="499">
        <f t="shared" si="46"/>
        <v>7</v>
      </c>
    </row>
    <row r="81" spans="2:33" x14ac:dyDescent="0.2">
      <c r="B81" s="69"/>
      <c r="D81" s="69"/>
      <c r="I81" s="1504">
        <f t="shared" si="44"/>
        <v>0.25085039069164367</v>
      </c>
      <c r="J81" s="806">
        <v>2026</v>
      </c>
      <c r="K81" s="499">
        <f>K80+($K$105-$K$80)/($J$105-$J$80)</f>
        <v>6.88</v>
      </c>
      <c r="AF81" s="806">
        <v>2026</v>
      </c>
      <c r="AG81" s="499">
        <f t="shared" si="46"/>
        <v>6.88</v>
      </c>
    </row>
    <row r="82" spans="2:33" x14ac:dyDescent="0.2">
      <c r="B82" s="69"/>
      <c r="D82" s="69"/>
      <c r="I82" s="1504">
        <f t="shared" si="44"/>
        <v>0.25269253761899885</v>
      </c>
      <c r="J82" s="806">
        <v>2027</v>
      </c>
      <c r="K82" s="499">
        <f t="shared" ref="K82:K104" si="48">K81+($K$105-$K$80)/($J$105-$J$80)</f>
        <v>6.76</v>
      </c>
      <c r="AF82" s="806">
        <v>2027</v>
      </c>
      <c r="AG82" s="499">
        <f t="shared" si="46"/>
        <v>6.76</v>
      </c>
    </row>
    <row r="83" spans="2:33" x14ac:dyDescent="0.2">
      <c r="B83" s="69"/>
      <c r="D83" s="69"/>
      <c r="I83" s="1504">
        <f t="shared" si="44"/>
        <v>0.25236515508240354</v>
      </c>
      <c r="J83" s="806">
        <v>2028</v>
      </c>
      <c r="K83" s="499">
        <f t="shared" si="48"/>
        <v>6.64</v>
      </c>
      <c r="AF83" s="806">
        <v>2028</v>
      </c>
      <c r="AG83" s="499">
        <f t="shared" si="46"/>
        <v>6.64</v>
      </c>
    </row>
    <row r="84" spans="2:33" x14ac:dyDescent="0.2">
      <c r="B84" s="69"/>
      <c r="D84" s="69"/>
      <c r="I84" s="1504">
        <f t="shared" si="44"/>
        <v>0.25148873647933945</v>
      </c>
      <c r="J84" s="806">
        <v>2029</v>
      </c>
      <c r="K84" s="499">
        <f t="shared" si="48"/>
        <v>6.52</v>
      </c>
      <c r="AF84" s="806">
        <v>2029</v>
      </c>
      <c r="AG84" s="499">
        <f t="shared" si="46"/>
        <v>6.52</v>
      </c>
    </row>
    <row r="85" spans="2:33" x14ac:dyDescent="0.2">
      <c r="B85" s="69"/>
      <c r="D85" s="69"/>
      <c r="I85" s="1504">
        <f t="shared" si="44"/>
        <v>0.25047299280035484</v>
      </c>
      <c r="J85" s="807">
        <v>2030</v>
      </c>
      <c r="K85" s="499">
        <f t="shared" si="48"/>
        <v>6.3999999999999995</v>
      </c>
      <c r="AF85" s="806">
        <v>2030</v>
      </c>
      <c r="AG85" s="499">
        <f t="shared" si="46"/>
        <v>6.3999999999999995</v>
      </c>
    </row>
    <row r="86" spans="2:33" x14ac:dyDescent="0.2">
      <c r="B86" s="69"/>
      <c r="D86" s="69"/>
      <c r="I86" s="1504">
        <f t="shared" si="44"/>
        <v>0.25010046746511072</v>
      </c>
      <c r="J86" s="806">
        <v>2031</v>
      </c>
      <c r="K86" s="499">
        <f t="shared" si="48"/>
        <v>6.2799999999999994</v>
      </c>
      <c r="AF86" s="806">
        <v>2031</v>
      </c>
      <c r="AG86" s="499">
        <f t="shared" si="46"/>
        <v>6.2799999999999994</v>
      </c>
    </row>
    <row r="87" spans="2:33" x14ac:dyDescent="0.2">
      <c r="B87" s="69"/>
      <c r="D87" s="69"/>
      <c r="I87" s="1504">
        <f t="shared" si="44"/>
        <v>0.24997326918483639</v>
      </c>
      <c r="J87" s="806">
        <v>2032</v>
      </c>
      <c r="K87" s="499">
        <f t="shared" si="48"/>
        <v>6.1599999999999993</v>
      </c>
      <c r="AF87" s="806">
        <v>2032</v>
      </c>
      <c r="AG87" s="499">
        <f t="shared" si="46"/>
        <v>6.1599999999999993</v>
      </c>
    </row>
    <row r="88" spans="2:33" x14ac:dyDescent="0.2">
      <c r="B88" s="69"/>
      <c r="D88" s="69"/>
      <c r="I88" s="1504">
        <f t="shared" si="44"/>
        <v>0.25133957075101515</v>
      </c>
      <c r="J88" s="806">
        <v>2033</v>
      </c>
      <c r="K88" s="499">
        <f t="shared" si="48"/>
        <v>6.0399999999999991</v>
      </c>
      <c r="AF88" s="806">
        <v>2033</v>
      </c>
      <c r="AG88" s="499">
        <f t="shared" si="46"/>
        <v>6.0399999999999991</v>
      </c>
    </row>
    <row r="89" spans="2:33" x14ac:dyDescent="0.2">
      <c r="B89" s="69"/>
      <c r="D89" s="69"/>
      <c r="I89" s="1504">
        <f t="shared" si="44"/>
        <v>0.25189640700174021</v>
      </c>
      <c r="J89" s="806">
        <v>2034</v>
      </c>
      <c r="K89" s="499">
        <f t="shared" si="48"/>
        <v>5.919999999999999</v>
      </c>
      <c r="AF89" s="806">
        <v>2034</v>
      </c>
      <c r="AG89" s="499">
        <f t="shared" si="46"/>
        <v>5.919999999999999</v>
      </c>
    </row>
    <row r="90" spans="2:33" x14ac:dyDescent="0.2">
      <c r="B90" s="69"/>
      <c r="D90" s="69"/>
      <c r="I90" s="1504">
        <f t="shared" si="44"/>
        <v>0.24957728870235779</v>
      </c>
      <c r="J90" s="807">
        <v>2035</v>
      </c>
      <c r="K90" s="499">
        <f t="shared" si="48"/>
        <v>5.7999999999999989</v>
      </c>
      <c r="AF90" s="806">
        <v>2035</v>
      </c>
      <c r="AG90" s="499">
        <f t="shared" si="46"/>
        <v>5.7999999999999989</v>
      </c>
    </row>
    <row r="91" spans="2:33" x14ac:dyDescent="0.2">
      <c r="B91" s="69"/>
      <c r="D91" s="69"/>
      <c r="I91" s="1504">
        <f t="shared" si="44"/>
        <v>0.24770967206061861</v>
      </c>
      <c r="J91" s="806">
        <v>2036</v>
      </c>
      <c r="K91" s="499">
        <f t="shared" si="48"/>
        <v>5.6799999999999988</v>
      </c>
      <c r="AF91" s="806">
        <v>2036</v>
      </c>
      <c r="AG91" s="499">
        <f t="shared" si="46"/>
        <v>5.6799999999999988</v>
      </c>
    </row>
    <row r="92" spans="2:33" x14ac:dyDescent="0.2">
      <c r="B92" s="69"/>
      <c r="D92" s="69"/>
      <c r="I92" s="1504">
        <f t="shared" si="44"/>
        <v>0.24633136122057928</v>
      </c>
      <c r="J92" s="806">
        <v>2037</v>
      </c>
      <c r="K92" s="499">
        <f t="shared" si="48"/>
        <v>5.5599999999999987</v>
      </c>
      <c r="AF92" s="806">
        <v>2037</v>
      </c>
      <c r="AG92" s="499">
        <f t="shared" si="46"/>
        <v>5.5599999999999987</v>
      </c>
    </row>
    <row r="93" spans="2:33" x14ac:dyDescent="0.2">
      <c r="B93" s="69"/>
      <c r="D93" s="69"/>
      <c r="I93" s="1504">
        <f t="shared" si="44"/>
        <v>0.24435082699837532</v>
      </c>
      <c r="J93" s="806">
        <v>2038</v>
      </c>
      <c r="K93" s="499">
        <f t="shared" si="48"/>
        <v>5.4399999999999986</v>
      </c>
      <c r="AF93" s="806">
        <v>2038</v>
      </c>
      <c r="AG93" s="499">
        <f t="shared" si="46"/>
        <v>5.4399999999999986</v>
      </c>
    </row>
    <row r="94" spans="2:33" x14ac:dyDescent="0.2">
      <c r="B94" s="69"/>
      <c r="D94" s="69"/>
      <c r="I94" s="1504">
        <f t="shared" si="44"/>
        <v>0.23984379459355068</v>
      </c>
      <c r="J94" s="806">
        <v>2039</v>
      </c>
      <c r="K94" s="499">
        <f t="shared" si="48"/>
        <v>5.3199999999999985</v>
      </c>
      <c r="AF94" s="806">
        <v>2039</v>
      </c>
      <c r="AG94" s="499">
        <f t="shared" si="46"/>
        <v>5.3199999999999985</v>
      </c>
    </row>
    <row r="95" spans="2:33" x14ac:dyDescent="0.2">
      <c r="I95" s="1504">
        <f t="shared" si="44"/>
        <v>0.23199372931354187</v>
      </c>
      <c r="J95" s="807">
        <v>2040</v>
      </c>
      <c r="K95" s="499">
        <f t="shared" si="48"/>
        <v>5.1999999999999984</v>
      </c>
      <c r="AF95" s="806">
        <v>2040</v>
      </c>
      <c r="AG95" s="499">
        <f t="shared" si="46"/>
        <v>5.1999999999999984</v>
      </c>
    </row>
    <row r="96" spans="2:33" x14ac:dyDescent="0.2">
      <c r="I96" s="1504">
        <f t="shared" si="44"/>
        <v>0.22007192556483779</v>
      </c>
      <c r="J96" s="806">
        <v>2041</v>
      </c>
      <c r="K96" s="499">
        <f t="shared" si="48"/>
        <v>5.0799999999999983</v>
      </c>
      <c r="AF96" s="806">
        <v>2041</v>
      </c>
      <c r="AG96" s="499">
        <f t="shared" si="46"/>
        <v>5.0799999999999983</v>
      </c>
    </row>
    <row r="97" spans="9:33" x14ac:dyDescent="0.2">
      <c r="I97" s="1504">
        <f t="shared" si="44"/>
        <v>0.20371840373879146</v>
      </c>
      <c r="J97" s="806">
        <v>2042</v>
      </c>
      <c r="K97" s="499">
        <f t="shared" si="48"/>
        <v>4.9599999999999982</v>
      </c>
      <c r="AF97" s="806">
        <v>2042</v>
      </c>
      <c r="AG97" s="499">
        <f t="shared" si="46"/>
        <v>4.9599999999999982</v>
      </c>
    </row>
    <row r="98" spans="9:33" x14ac:dyDescent="0.2">
      <c r="I98" s="1504">
        <f t="shared" si="44"/>
        <v>0.1832856395632525</v>
      </c>
      <c r="J98" s="806">
        <v>2043</v>
      </c>
      <c r="K98" s="499">
        <f t="shared" si="48"/>
        <v>4.8399999999999981</v>
      </c>
      <c r="AF98" s="806">
        <v>2043</v>
      </c>
      <c r="AG98" s="499">
        <f t="shared" si="46"/>
        <v>4.8399999999999981</v>
      </c>
    </row>
    <row r="99" spans="9:33" x14ac:dyDescent="0.2">
      <c r="I99" s="1504">
        <f t="shared" si="44"/>
        <v>0.16246766243595318</v>
      </c>
      <c r="J99" s="806">
        <v>2044</v>
      </c>
      <c r="K99" s="499">
        <f t="shared" si="48"/>
        <v>4.719999999999998</v>
      </c>
      <c r="AF99" s="806">
        <v>2044</v>
      </c>
      <c r="AG99" s="499">
        <f t="shared" si="46"/>
        <v>4.719999999999998</v>
      </c>
    </row>
    <row r="100" spans="9:33" x14ac:dyDescent="0.2">
      <c r="I100" s="1504">
        <f t="shared" si="44"/>
        <v>0.1440929243827129</v>
      </c>
      <c r="J100" s="807">
        <v>2045</v>
      </c>
      <c r="K100" s="499">
        <f t="shared" si="48"/>
        <v>4.5999999999999979</v>
      </c>
      <c r="AF100" s="806">
        <v>2045</v>
      </c>
      <c r="AG100" s="499">
        <f t="shared" si="46"/>
        <v>4.5999999999999979</v>
      </c>
    </row>
    <row r="101" spans="9:33" x14ac:dyDescent="0.2">
      <c r="I101" s="1504">
        <f t="shared" si="44"/>
        <v>0.13053665569348835</v>
      </c>
      <c r="J101" s="806">
        <v>2046</v>
      </c>
      <c r="K101" s="499">
        <f t="shared" si="48"/>
        <v>4.4799999999999978</v>
      </c>
      <c r="AF101" s="806">
        <v>2046</v>
      </c>
      <c r="AG101" s="499">
        <f t="shared" si="46"/>
        <v>4.4799999999999978</v>
      </c>
    </row>
    <row r="102" spans="9:33" x14ac:dyDescent="0.2">
      <c r="I102" s="1504">
        <f t="shared" si="44"/>
        <v>0.12240890472472897</v>
      </c>
      <c r="J102" s="806">
        <v>2047</v>
      </c>
      <c r="K102" s="499">
        <f t="shared" si="48"/>
        <v>4.3599999999999977</v>
      </c>
      <c r="AF102" s="806">
        <v>2047</v>
      </c>
      <c r="AG102" s="499">
        <f t="shared" si="46"/>
        <v>4.3599999999999977</v>
      </c>
    </row>
    <row r="103" spans="9:33" x14ac:dyDescent="0.2">
      <c r="I103" s="1504">
        <f t="shared" si="44"/>
        <v>0.11839570831699366</v>
      </c>
      <c r="J103" s="806">
        <v>2048</v>
      </c>
      <c r="K103" s="499">
        <f t="shared" si="48"/>
        <v>4.2399999999999975</v>
      </c>
      <c r="AF103" s="806">
        <v>2048</v>
      </c>
      <c r="AG103" s="499">
        <f t="shared" si="46"/>
        <v>4.2399999999999975</v>
      </c>
    </row>
    <row r="104" spans="9:33" x14ac:dyDescent="0.2">
      <c r="I104" s="1504">
        <f t="shared" si="44"/>
        <v>0.11638482297477669</v>
      </c>
      <c r="J104" s="806">
        <v>2049</v>
      </c>
      <c r="K104" s="499">
        <f t="shared" si="48"/>
        <v>4.1199999999999974</v>
      </c>
      <c r="AF104" s="806">
        <v>2049</v>
      </c>
      <c r="AG104" s="499">
        <f t="shared" si="46"/>
        <v>4.1199999999999974</v>
      </c>
    </row>
    <row r="105" spans="9:33" ht="13.5" thickBot="1" x14ac:dyDescent="0.25">
      <c r="I105" s="1504">
        <f t="shared" si="44"/>
        <v>0.11531160698590485</v>
      </c>
      <c r="J105" s="808">
        <v>2050</v>
      </c>
      <c r="K105" s="1347">
        <v>4</v>
      </c>
      <c r="AF105" s="1129">
        <v>2050</v>
      </c>
      <c r="AG105" s="500">
        <f t="shared" si="46"/>
        <v>4</v>
      </c>
    </row>
    <row r="107" spans="9:33" x14ac:dyDescent="0.2">
      <c r="I107" s="1504">
        <f>MIN(I75:I105)</f>
        <v>0.11531160698590485</v>
      </c>
    </row>
    <row r="108" spans="9:33" x14ac:dyDescent="0.2">
      <c r="I108" s="1504">
        <f>MAX(I75:I105)</f>
        <v>0.25269253761899885</v>
      </c>
    </row>
    <row r="109" spans="9:33" x14ac:dyDescent="0.2">
      <c r="I109" s="1504">
        <f>AVERAGE(I75:I105)</f>
        <v>0.21489257761331435</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9" zoomScale="80" zoomScaleNormal="80" workbookViewId="0">
      <pane xSplit="1" topLeftCell="AD1" activePane="topRight" state="frozen"/>
      <selection pane="topRight" activeCell="AI42" sqref="AI42"/>
    </sheetView>
  </sheetViews>
  <sheetFormatPr defaultColWidth="8.42578125" defaultRowHeight="12.75" x14ac:dyDescent="0.2"/>
  <cols>
    <col min="1" max="1" width="6" style="99" customWidth="1"/>
    <col min="2" max="2" width="11.140625" style="99" customWidth="1"/>
    <col min="3" max="3" width="12" style="99" customWidth="1"/>
    <col min="4" max="4" width="13.5703125" style="99" bestFit="1" customWidth="1"/>
    <col min="5" max="5" width="11" style="99" customWidth="1"/>
    <col min="6" max="6" width="13.5703125" style="99" bestFit="1" customWidth="1"/>
    <col min="7" max="7" width="10.85546875" style="99" customWidth="1"/>
    <col min="8" max="8" width="12.140625" style="99" customWidth="1"/>
    <col min="9" max="9" width="11.7109375" style="99" customWidth="1"/>
    <col min="10" max="10" width="9.7109375" style="99" customWidth="1"/>
    <col min="11" max="11" width="10.140625" style="99" customWidth="1"/>
    <col min="12" max="13" width="12.28515625" style="99" customWidth="1"/>
    <col min="14" max="14" width="11.5703125" style="99" customWidth="1"/>
    <col min="15" max="16" width="11.28515625" style="99" customWidth="1"/>
    <col min="17" max="17" width="10.28515625" style="99" customWidth="1"/>
    <col min="18" max="18" width="10.42578125" style="99" customWidth="1"/>
    <col min="19" max="20" width="9.85546875" style="99" customWidth="1"/>
    <col min="21" max="21" width="10.42578125" style="99" customWidth="1"/>
    <col min="22" max="22" width="8.42578125" style="99" customWidth="1"/>
    <col min="23" max="23" width="10" style="99" customWidth="1"/>
    <col min="24" max="24" width="10.7109375" style="99" customWidth="1"/>
    <col min="25" max="25" width="9.7109375" style="99" customWidth="1"/>
    <col min="26" max="26" width="9.85546875" style="99" customWidth="1"/>
    <col min="27" max="27" width="11.28515625" style="99" customWidth="1"/>
    <col min="28" max="28" width="10" style="99" customWidth="1"/>
    <col min="29" max="29" width="11.140625" style="99" customWidth="1"/>
    <col min="30" max="30" width="10.5703125" style="99" customWidth="1"/>
    <col min="31" max="31" width="10" style="99" customWidth="1"/>
    <col min="32" max="32" width="11.85546875" style="99" customWidth="1"/>
    <col min="33" max="34" width="8.42578125" style="99" customWidth="1"/>
    <col min="35" max="36" width="8.42578125" style="195" customWidth="1"/>
    <col min="37" max="37" width="9.42578125" style="195" customWidth="1"/>
    <col min="38" max="39" width="8.42578125" style="195" customWidth="1"/>
    <col min="40" max="40" width="9.5703125" style="99" customWidth="1"/>
    <col min="41" max="41" width="10.42578125" style="99" customWidth="1"/>
    <col min="42" max="42" width="9.28515625" style="99" customWidth="1"/>
    <col min="43" max="43" width="9.42578125" style="99" customWidth="1"/>
    <col min="44" max="44" width="8.42578125" style="99"/>
    <col min="45" max="45" width="11.140625" style="99" customWidth="1"/>
    <col min="46" max="46" width="9" style="99" customWidth="1"/>
    <col min="47" max="47" width="8.42578125" style="99"/>
    <col min="48" max="48" width="9" style="99" customWidth="1"/>
    <col min="49" max="50" width="8.42578125" style="99"/>
    <col min="51" max="52" width="8.5703125" style="99" customWidth="1"/>
    <col min="53" max="53" width="9.28515625" style="99" customWidth="1"/>
    <col min="54" max="61" width="8.5703125" style="99" customWidth="1"/>
    <col min="62" max="62" width="13" style="99" customWidth="1"/>
    <col min="63" max="16384" width="8.42578125" style="99"/>
  </cols>
  <sheetData>
    <row r="1" spans="2:64" ht="15.75" x14ac:dyDescent="0.25">
      <c r="B1" s="53" t="s">
        <v>239</v>
      </c>
      <c r="C1" s="104"/>
      <c r="D1" s="104"/>
      <c r="E1" s="104"/>
      <c r="F1" s="104"/>
      <c r="L1" s="99" t="s">
        <v>204</v>
      </c>
      <c r="AI1" s="99"/>
      <c r="AJ1" s="99"/>
      <c r="AK1" s="99"/>
      <c r="AL1" s="99"/>
      <c r="AM1" s="99"/>
    </row>
    <row r="2" spans="2:64" x14ac:dyDescent="0.2">
      <c r="Y2" s="107"/>
      <c r="AI2" s="99"/>
      <c r="AJ2" s="99"/>
      <c r="AK2" s="99"/>
      <c r="AL2" s="99"/>
      <c r="AM2" s="99"/>
    </row>
    <row r="3" spans="2:64" x14ac:dyDescent="0.2">
      <c r="B3" s="1550" t="s">
        <v>53</v>
      </c>
      <c r="C3" s="1551"/>
      <c r="D3" s="108">
        <f>'Run Model'!C6</f>
        <v>7.4999999999999997E-2</v>
      </c>
      <c r="F3"/>
      <c r="G3"/>
      <c r="H3"/>
      <c r="L3" s="99" t="s">
        <v>448</v>
      </c>
      <c r="N3" s="99" t="s">
        <v>127</v>
      </c>
      <c r="P3" s="1533" t="s">
        <v>204</v>
      </c>
      <c r="Q3" s="1534"/>
      <c r="R3" s="1534"/>
      <c r="S3" s="1534"/>
      <c r="T3" s="1534"/>
      <c r="U3" s="1535"/>
      <c r="Y3" s="88"/>
      <c r="AI3" s="99"/>
      <c r="AJ3" s="99"/>
      <c r="AK3" s="99"/>
      <c r="AL3" s="99"/>
      <c r="AM3" s="99"/>
    </row>
    <row r="4" spans="2:64" x14ac:dyDescent="0.2">
      <c r="B4" s="1550" t="s">
        <v>104</v>
      </c>
      <c r="C4" s="1551"/>
      <c r="D4" s="97" t="str">
        <f>'Run Model'!C7</f>
        <v>Moderate</v>
      </c>
      <c r="F4"/>
      <c r="G4"/>
      <c r="H4"/>
      <c r="N4" s="99" t="s">
        <v>126</v>
      </c>
      <c r="P4" s="1547">
        <v>44139.616446759261</v>
      </c>
      <c r="Q4" s="1534"/>
      <c r="R4" s="1534"/>
      <c r="S4" s="1534"/>
      <c r="T4" s="1534"/>
      <c r="U4" s="1535"/>
      <c r="V4" s="99" t="s">
        <v>186</v>
      </c>
      <c r="AI4" s="99"/>
      <c r="AJ4" s="99"/>
      <c r="AK4" s="99"/>
      <c r="AL4" s="99"/>
      <c r="AM4" s="99"/>
    </row>
    <row r="5" spans="2:64" x14ac:dyDescent="0.2">
      <c r="B5" s="1550" t="s">
        <v>118</v>
      </c>
      <c r="C5" s="1551"/>
      <c r="D5" s="97" t="s">
        <v>15</v>
      </c>
      <c r="F5"/>
      <c r="G5"/>
      <c r="H5"/>
      <c r="P5" s="1547">
        <v>44139.616446759261</v>
      </c>
      <c r="Q5" s="1534"/>
      <c r="R5" s="1534"/>
      <c r="S5" s="1534"/>
      <c r="T5" s="1534"/>
      <c r="U5" s="1535"/>
      <c r="V5" s="99" t="s">
        <v>15</v>
      </c>
      <c r="AI5" s="99"/>
      <c r="AJ5" s="99"/>
      <c r="AK5" s="99"/>
      <c r="AL5" s="99"/>
      <c r="AM5" s="99"/>
    </row>
    <row r="6" spans="2:64" x14ac:dyDescent="0.2">
      <c r="B6" s="1550" t="s">
        <v>68</v>
      </c>
      <c r="C6" s="1551"/>
      <c r="D6" s="110">
        <v>224042.00197938742</v>
      </c>
      <c r="F6"/>
      <c r="G6"/>
      <c r="H6"/>
      <c r="AI6" s="99"/>
      <c r="AJ6" s="99"/>
      <c r="AK6" s="99"/>
      <c r="AL6" s="99"/>
      <c r="AM6" s="99"/>
    </row>
    <row r="7" spans="2:64" ht="6.75" customHeight="1" x14ac:dyDescent="0.2">
      <c r="Y7" s="111"/>
      <c r="AI7" s="99"/>
      <c r="AJ7" s="99"/>
      <c r="AK7" s="99"/>
      <c r="AL7" s="99"/>
      <c r="AM7" s="99"/>
    </row>
    <row r="8" spans="2:64" s="112" customFormat="1" ht="15.75" thickBot="1" x14ac:dyDescent="0.3">
      <c r="B8" s="23" t="s">
        <v>74</v>
      </c>
      <c r="C8" s="99"/>
      <c r="D8" s="99"/>
      <c r="E8" s="99"/>
      <c r="F8" s="99"/>
      <c r="G8" s="99"/>
      <c r="H8" s="99"/>
      <c r="I8" s="99"/>
      <c r="J8" s="99"/>
      <c r="K8" s="99"/>
      <c r="L8" s="99"/>
      <c r="M8" s="99"/>
      <c r="N8" s="99"/>
      <c r="O8" s="99"/>
      <c r="P8" s="99"/>
      <c r="Q8" s="99"/>
      <c r="R8" s="111"/>
      <c r="S8" s="111"/>
      <c r="T8" s="113"/>
      <c r="U8" s="114"/>
      <c r="AJ8" s="115"/>
      <c r="AK8" s="116"/>
      <c r="AL8" s="116"/>
      <c r="AM8" s="116"/>
      <c r="BI8" s="117"/>
      <c r="BJ8" s="117"/>
      <c r="BK8" s="117"/>
      <c r="BL8" s="117"/>
    </row>
    <row r="9" spans="2:64" s="112" customFormat="1" ht="26.25" customHeight="1" thickBot="1" x14ac:dyDescent="0.25">
      <c r="B9" s="118"/>
      <c r="C9" s="119"/>
      <c r="D9" s="120"/>
      <c r="E9" s="120"/>
      <c r="F9" s="118"/>
      <c r="G9" s="577"/>
      <c r="H9" s="143"/>
      <c r="I9" s="143"/>
      <c r="J9" s="1521" t="s">
        <v>76</v>
      </c>
      <c r="K9" s="1522"/>
      <c r="L9" s="1542" t="s">
        <v>83</v>
      </c>
      <c r="M9" s="1543"/>
      <c r="N9" s="1548" t="s">
        <v>109</v>
      </c>
      <c r="O9" s="1548"/>
      <c r="P9" s="1548"/>
      <c r="Q9" s="1549"/>
      <c r="R9" s="438"/>
      <c r="S9" s="113"/>
      <c r="T9" s="114"/>
      <c r="AD9" s="632"/>
      <c r="AG9" s="115"/>
      <c r="AH9" s="388"/>
      <c r="AI9" s="388"/>
      <c r="AJ9" s="116"/>
      <c r="BF9" s="117"/>
      <c r="BG9" s="117"/>
      <c r="BH9" s="117"/>
      <c r="BI9" s="117"/>
      <c r="BJ9" s="117"/>
      <c r="BK9" s="117"/>
    </row>
    <row r="10" spans="2:64" s="112" customFormat="1" ht="39" customHeight="1" thickBot="1" x14ac:dyDescent="0.25">
      <c r="B10" s="145"/>
      <c r="C10" s="438" t="s">
        <v>75</v>
      </c>
      <c r="D10" s="438"/>
      <c r="E10" s="438"/>
      <c r="F10" s="578" t="s">
        <v>211</v>
      </c>
      <c r="G10" s="579" t="s">
        <v>210</v>
      </c>
      <c r="H10" s="682" t="s">
        <v>264</v>
      </c>
      <c r="I10" s="588" t="s">
        <v>81</v>
      </c>
      <c r="J10" s="956" t="s">
        <v>280</v>
      </c>
      <c r="K10" s="957" t="s">
        <v>281</v>
      </c>
      <c r="L10" s="421" t="s">
        <v>113</v>
      </c>
      <c r="M10" s="422" t="s">
        <v>84</v>
      </c>
      <c r="N10" s="419" t="s">
        <v>95</v>
      </c>
      <c r="O10" s="420" t="s">
        <v>112</v>
      </c>
      <c r="P10" s="420" t="s">
        <v>120</v>
      </c>
      <c r="Q10" s="422" t="s">
        <v>108</v>
      </c>
      <c r="R10" s="114"/>
      <c r="AD10" s="632"/>
      <c r="AE10" s="115"/>
      <c r="AF10" s="116"/>
      <c r="BD10" s="676"/>
      <c r="BE10" s="117"/>
      <c r="BF10" s="117"/>
      <c r="BG10" s="117"/>
      <c r="BH10" s="117"/>
      <c r="BI10" s="117"/>
    </row>
    <row r="11" spans="2:64" s="112" customFormat="1" x14ac:dyDescent="0.2">
      <c r="B11" s="435" t="s">
        <v>69</v>
      </c>
      <c r="C11" s="430" t="str">
        <f t="shared" ref="C11:C16" si="0">INDEX(TECH_OPT_PARAMS_Cls1,MATCH($B11,TECH_OPT_ROWS_Cls1,0),MATCH(C$10,TECH_OPT_COLS_Cls1,0))</f>
        <v>Conventional Diesel ICE</v>
      </c>
      <c r="D11" s="430"/>
      <c r="E11" s="430"/>
      <c r="F11" s="572" t="str">
        <f t="shared" ref="F11:O16" si="1">INDEX(TECH_OPT_PARAMS_Cls1,MATCH($B11,TECH_OPT_ROWS_Cls1,0),MATCH(F$10,TECH_OPT_COLS_Cls1,0))</f>
        <v>Diesel</v>
      </c>
      <c r="G11" s="576" t="str">
        <f t="shared" si="1"/>
        <v>N/A</v>
      </c>
      <c r="H11" s="747" t="b">
        <f>INDEX(TECH_OPT_PARAMS_Cls1,MATCH($B11,TECH_OPT_ROWS_Cls1,0),MATCH(H$10,TECH_OPT_COLS_Cls1,0))</f>
        <v>0</v>
      </c>
      <c r="I11" s="589">
        <f t="shared" si="1"/>
        <v>0</v>
      </c>
      <c r="J11" s="831">
        <f t="shared" si="1"/>
        <v>0</v>
      </c>
      <c r="K11" s="832">
        <f t="shared" si="1"/>
        <v>0</v>
      </c>
      <c r="L11" s="831">
        <f t="shared" si="1"/>
        <v>0</v>
      </c>
      <c r="M11" s="832">
        <f t="shared" si="1"/>
        <v>0</v>
      </c>
      <c r="N11" s="835">
        <f t="shared" si="1"/>
        <v>0</v>
      </c>
      <c r="O11" s="424">
        <f t="shared" si="1"/>
        <v>350</v>
      </c>
      <c r="P11" s="425">
        <f>$D$6*('Inputs 7&amp;8 SU'!$N8/('Inputs 7&amp;8 SU'!$O8*1000))/12</f>
        <v>0</v>
      </c>
      <c r="Q11" s="426">
        <f>$D$6*('Inputs 7&amp;8 Day'!$N8/('Inputs 7&amp;8 Day'!$O8*1000))/12</f>
        <v>0</v>
      </c>
      <c r="R11" s="114"/>
      <c r="AD11"/>
      <c r="AE11"/>
      <c r="AF11"/>
      <c r="AG11"/>
      <c r="AH11"/>
      <c r="AI11"/>
      <c r="AJ11"/>
      <c r="AK11"/>
      <c r="AL11"/>
      <c r="AM11"/>
      <c r="AN11"/>
      <c r="AO11"/>
      <c r="AP11"/>
      <c r="AQ11"/>
      <c r="AR11"/>
      <c r="AS11"/>
      <c r="AT11"/>
      <c r="AU11"/>
      <c r="AV11"/>
      <c r="AW11"/>
      <c r="AX11"/>
      <c r="AY11"/>
      <c r="AZ11"/>
      <c r="BA11"/>
      <c r="BB11"/>
      <c r="BC11"/>
      <c r="BD11"/>
      <c r="BE11"/>
      <c r="BF11"/>
      <c r="BG11"/>
      <c r="BH11"/>
    </row>
    <row r="12" spans="2:64" s="112" customFormat="1" x14ac:dyDescent="0.2">
      <c r="B12" s="436" t="s">
        <v>65</v>
      </c>
      <c r="C12" s="431" t="str">
        <f t="shared" si="0"/>
        <v>Adv Conv</v>
      </c>
      <c r="D12" s="432"/>
      <c r="E12" s="432"/>
      <c r="F12" s="572" t="str">
        <f t="shared" si="1"/>
        <v>Diesel</v>
      </c>
      <c r="G12" s="573" t="str">
        <f t="shared" si="1"/>
        <v>N/A</v>
      </c>
      <c r="H12" s="745" t="b">
        <f t="shared" si="1"/>
        <v>0</v>
      </c>
      <c r="I12" s="590">
        <f t="shared" si="1"/>
        <v>2025</v>
      </c>
      <c r="J12" s="833">
        <f t="shared" si="1"/>
        <v>0</v>
      </c>
      <c r="K12" s="834">
        <f t="shared" si="1"/>
        <v>0.5</v>
      </c>
      <c r="L12" s="833">
        <f t="shared" si="1"/>
        <v>5</v>
      </c>
      <c r="M12" s="834">
        <f t="shared" si="1"/>
        <v>5</v>
      </c>
      <c r="N12" s="586">
        <f t="shared" si="1"/>
        <v>0</v>
      </c>
      <c r="O12" s="109">
        <f t="shared" si="1"/>
        <v>350</v>
      </c>
      <c r="P12" s="130">
        <f>$D$6*('Inputs 7&amp;8 SU'!$N9/('Inputs 7&amp;8 SU'!$O9*1000))/12</f>
        <v>0</v>
      </c>
      <c r="Q12" s="131">
        <f>$D$6*('Inputs 7&amp;8 Day'!$N9/('Inputs 7&amp;8 Day'!$O9*1000))/12</f>
        <v>0</v>
      </c>
      <c r="R12" s="132"/>
      <c r="AD12"/>
      <c r="AE12"/>
      <c r="AF12"/>
      <c r="AG12"/>
      <c r="AH12"/>
      <c r="AI12"/>
      <c r="AJ12"/>
      <c r="AK12"/>
      <c r="AL12"/>
      <c r="AM12"/>
      <c r="AN12"/>
      <c r="AO12"/>
      <c r="AP12"/>
      <c r="AQ12"/>
      <c r="AR12"/>
      <c r="AS12"/>
      <c r="AT12"/>
      <c r="AU12"/>
      <c r="AV12"/>
      <c r="AW12"/>
      <c r="AX12"/>
      <c r="AY12"/>
      <c r="AZ12"/>
      <c r="BA12"/>
      <c r="BB12"/>
      <c r="BC12"/>
      <c r="BD12"/>
      <c r="BE12"/>
      <c r="BF12"/>
      <c r="BG12"/>
      <c r="BH12"/>
    </row>
    <row r="13" spans="2:64" s="112" customFormat="1" x14ac:dyDescent="0.2">
      <c r="B13" s="436" t="s">
        <v>66</v>
      </c>
      <c r="C13" s="431" t="str">
        <f t="shared" si="0"/>
        <v>HEV</v>
      </c>
      <c r="D13" s="432"/>
      <c r="E13" s="432"/>
      <c r="F13" s="572" t="str">
        <f t="shared" si="1"/>
        <v>Diesel</v>
      </c>
      <c r="G13" s="573" t="str">
        <f t="shared" si="1"/>
        <v>N/A</v>
      </c>
      <c r="H13" s="745" t="b">
        <f t="shared" si="1"/>
        <v>0</v>
      </c>
      <c r="I13" s="590">
        <f t="shared" si="1"/>
        <v>2025</v>
      </c>
      <c r="J13" s="1103">
        <f t="shared" si="1"/>
        <v>0</v>
      </c>
      <c r="K13" s="834">
        <f t="shared" si="1"/>
        <v>0.5</v>
      </c>
      <c r="L13" s="833">
        <f t="shared" si="1"/>
        <v>5</v>
      </c>
      <c r="M13" s="834">
        <f t="shared" si="1"/>
        <v>5</v>
      </c>
      <c r="N13" s="586">
        <f t="shared" si="1"/>
        <v>0</v>
      </c>
      <c r="O13" s="109">
        <f t="shared" si="1"/>
        <v>350</v>
      </c>
      <c r="P13" s="130">
        <f>$D$6*('Inputs 7&amp;8 SU'!$N10/('Inputs 7&amp;8 SU'!$O10*1000))/12</f>
        <v>0</v>
      </c>
      <c r="Q13" s="131">
        <f>$D$6*('Inputs 7&amp;8 Day'!$N10/('Inputs 7&amp;8 Day'!$O10*1000))/12</f>
        <v>0</v>
      </c>
      <c r="R13" s="132"/>
      <c r="AD13"/>
      <c r="AE13"/>
      <c r="AF13"/>
      <c r="AG13"/>
      <c r="AH13"/>
      <c r="AI13"/>
      <c r="AJ13"/>
      <c r="AK13"/>
      <c r="AL13"/>
      <c r="AM13"/>
      <c r="AN13"/>
      <c r="AO13"/>
      <c r="AP13"/>
      <c r="AQ13"/>
      <c r="AR13"/>
      <c r="AS13"/>
      <c r="AT13"/>
      <c r="AU13"/>
      <c r="AV13"/>
      <c r="AW13"/>
      <c r="AX13"/>
      <c r="AY13"/>
      <c r="AZ13"/>
      <c r="BA13"/>
      <c r="BB13"/>
      <c r="BC13"/>
      <c r="BD13"/>
      <c r="BE13"/>
      <c r="BF13"/>
      <c r="BG13"/>
      <c r="BH13"/>
    </row>
    <row r="14" spans="2:64" s="112" customFormat="1" x14ac:dyDescent="0.2">
      <c r="B14" s="436" t="s">
        <v>67</v>
      </c>
      <c r="C14" s="431" t="str">
        <f t="shared" si="0"/>
        <v>BEV</v>
      </c>
      <c r="D14" s="432"/>
      <c r="E14" s="432"/>
      <c r="F14" s="572" t="str">
        <f t="shared" si="1"/>
        <v>Electricity</v>
      </c>
      <c r="G14" s="573" t="str">
        <f t="shared" si="1"/>
        <v>N/A</v>
      </c>
      <c r="H14" s="745" t="b">
        <f t="shared" si="1"/>
        <v>1</v>
      </c>
      <c r="I14" s="590">
        <f t="shared" si="1"/>
        <v>2025</v>
      </c>
      <c r="J14" s="1103">
        <f t="shared" si="1"/>
        <v>0</v>
      </c>
      <c r="K14" s="834">
        <f t="shared" si="1"/>
        <v>0.5</v>
      </c>
      <c r="L14" s="833">
        <f t="shared" si="1"/>
        <v>5</v>
      </c>
      <c r="M14" s="834">
        <f t="shared" si="1"/>
        <v>5</v>
      </c>
      <c r="N14" s="586">
        <f t="shared" si="1"/>
        <v>0</v>
      </c>
      <c r="O14" s="109">
        <f t="shared" si="1"/>
        <v>350</v>
      </c>
      <c r="P14" s="556">
        <f>$D$6*('Inputs 7&amp;8 SU'!$N11/('Inputs 7&amp;8 SU'!$O11*1000))/12</f>
        <v>0</v>
      </c>
      <c r="Q14" s="557">
        <f>$D$6*('Inputs 7&amp;8 Day'!$N11/('Inputs 7&amp;8 Day'!$O11*1000))/12</f>
        <v>0</v>
      </c>
      <c r="R14" s="132"/>
      <c r="AD14"/>
      <c r="AE14"/>
      <c r="AF14"/>
      <c r="AG14"/>
      <c r="AH14"/>
      <c r="AI14"/>
      <c r="AJ14"/>
      <c r="AK14"/>
      <c r="AL14"/>
      <c r="AM14"/>
      <c r="AN14"/>
      <c r="AO14"/>
      <c r="AP14"/>
      <c r="AQ14"/>
      <c r="AR14"/>
      <c r="AS14"/>
      <c r="AT14"/>
      <c r="AU14"/>
      <c r="AV14"/>
      <c r="AW14"/>
      <c r="AX14"/>
      <c r="AY14"/>
      <c r="AZ14"/>
      <c r="BA14"/>
      <c r="BB14"/>
      <c r="BC14"/>
      <c r="BD14"/>
      <c r="BE14"/>
      <c r="BF14"/>
      <c r="BG14"/>
      <c r="BH14"/>
    </row>
    <row r="15" spans="2:64" s="112" customFormat="1" x14ac:dyDescent="0.2">
      <c r="B15" s="436" t="s">
        <v>205</v>
      </c>
      <c r="C15" s="433" t="str">
        <f t="shared" si="0"/>
        <v>FCEV</v>
      </c>
      <c r="D15" s="434"/>
      <c r="E15" s="434"/>
      <c r="F15" s="574" t="str">
        <f t="shared" si="1"/>
        <v>Hydrogen</v>
      </c>
      <c r="G15" s="575" t="str">
        <f t="shared" si="1"/>
        <v>N/A</v>
      </c>
      <c r="H15" s="745" t="b">
        <f t="shared" si="1"/>
        <v>0</v>
      </c>
      <c r="I15" s="590">
        <f t="shared" si="1"/>
        <v>2025</v>
      </c>
      <c r="J15" s="1103">
        <f t="shared" si="1"/>
        <v>0</v>
      </c>
      <c r="K15" s="834">
        <f t="shared" si="1"/>
        <v>0.5</v>
      </c>
      <c r="L15" s="833">
        <f t="shared" si="1"/>
        <v>5</v>
      </c>
      <c r="M15" s="834">
        <f t="shared" si="1"/>
        <v>5</v>
      </c>
      <c r="N15" s="586">
        <f t="shared" si="1"/>
        <v>0</v>
      </c>
      <c r="O15" s="109">
        <f t="shared" si="1"/>
        <v>350</v>
      </c>
      <c r="P15" s="556">
        <f>$D$6*('Inputs 7&amp;8 SU'!$N12/('Inputs 7&amp;8 SU'!$O12*1000))/12</f>
        <v>0</v>
      </c>
      <c r="Q15" s="557">
        <f>$D$6*('Inputs 7&amp;8 Day'!$N12/('Inputs 7&amp;8 Day'!$O12*1000))/12</f>
        <v>0</v>
      </c>
      <c r="R15" s="132"/>
      <c r="AD15"/>
      <c r="AE15"/>
      <c r="AF15"/>
      <c r="AG15"/>
      <c r="AH15"/>
      <c r="AI15"/>
      <c r="AJ15"/>
      <c r="AK15"/>
      <c r="AL15"/>
      <c r="AM15"/>
      <c r="AN15"/>
      <c r="AO15"/>
      <c r="AP15"/>
      <c r="AQ15"/>
      <c r="AR15"/>
      <c r="AS15"/>
      <c r="AT15"/>
      <c r="AU15"/>
      <c r="AV15"/>
      <c r="AW15"/>
      <c r="AX15"/>
      <c r="AY15"/>
      <c r="AZ15"/>
      <c r="BA15"/>
      <c r="BB15"/>
      <c r="BC15"/>
      <c r="BD15"/>
      <c r="BE15"/>
      <c r="BF15"/>
      <c r="BG15"/>
      <c r="BH15"/>
    </row>
    <row r="16" spans="2:64" s="112" customFormat="1" ht="13.5" thickBot="1" x14ac:dyDescent="0.25">
      <c r="B16" s="437" t="s">
        <v>206</v>
      </c>
      <c r="C16" s="427" t="str">
        <f t="shared" si="0"/>
        <v>PHEV</v>
      </c>
      <c r="D16" s="428"/>
      <c r="E16" s="428"/>
      <c r="F16" s="135" t="str">
        <f t="shared" si="1"/>
        <v>Diesel</v>
      </c>
      <c r="G16" s="134" t="str">
        <f t="shared" si="1"/>
        <v>Electricity</v>
      </c>
      <c r="H16" s="746" t="b">
        <f t="shared" si="1"/>
        <v>0</v>
      </c>
      <c r="I16" s="591">
        <f t="shared" si="1"/>
        <v>2025</v>
      </c>
      <c r="J16" s="135">
        <f t="shared" si="1"/>
        <v>0</v>
      </c>
      <c r="K16" s="134">
        <f t="shared" si="1"/>
        <v>0.5</v>
      </c>
      <c r="L16" s="135">
        <f t="shared" si="1"/>
        <v>5</v>
      </c>
      <c r="M16" s="134">
        <f t="shared" si="1"/>
        <v>5</v>
      </c>
      <c r="N16" s="587">
        <f t="shared" si="1"/>
        <v>0</v>
      </c>
      <c r="O16" s="136">
        <f t="shared" si="1"/>
        <v>350</v>
      </c>
      <c r="P16" s="558">
        <f>$D$6*('Inputs 7&amp;8 SU'!$N13/('Inputs 7&amp;8 SU'!$O13*1000))/12</f>
        <v>0</v>
      </c>
      <c r="Q16" s="559">
        <f>$D$6*('Inputs 7&amp;8 Day'!$N13/('Inputs 7&amp;8 Day'!$O13*1000))/12</f>
        <v>0</v>
      </c>
      <c r="R16" s="132"/>
      <c r="Y16" s="112">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112" customFormat="1" x14ac:dyDescent="0.2">
      <c r="B17" s="139"/>
      <c r="C17" s="139"/>
      <c r="D17" s="139"/>
      <c r="E17" s="116"/>
      <c r="F17" s="116"/>
      <c r="G17" s="116"/>
      <c r="H17" s="116"/>
      <c r="I17" s="111"/>
      <c r="J17" s="111"/>
      <c r="K17" s="114"/>
      <c r="L17" s="114"/>
      <c r="M17" s="111"/>
      <c r="N17" s="111"/>
      <c r="O17" s="140"/>
      <c r="P17" s="113"/>
      <c r="Q17" s="111"/>
      <c r="R17" s="111"/>
      <c r="S17" s="111"/>
      <c r="T17" s="111"/>
      <c r="U17" s="140"/>
      <c r="V17" s="113"/>
      <c r="W17" s="113"/>
      <c r="Y17" s="112" t="b">
        <f>Y16&lt;$D$6/OPDAYS_Cls1</f>
        <v>1</v>
      </c>
      <c r="AD17"/>
      <c r="AE17"/>
      <c r="AF17"/>
      <c r="AG17"/>
      <c r="AH17"/>
      <c r="AI17"/>
      <c r="AJ17"/>
      <c r="AK17"/>
      <c r="AL17"/>
      <c r="AM17"/>
      <c r="AN17" s="640" t="s">
        <v>78</v>
      </c>
      <c r="AO17" s="644">
        <f>'S-curves'!Z4</f>
        <v>2</v>
      </c>
      <c r="AP17" s="641" t="s">
        <v>101</v>
      </c>
      <c r="AQ17" s="644">
        <f>'S-curves'!Z6</f>
        <v>1</v>
      </c>
      <c r="AR17" s="636"/>
      <c r="AS17" s="634" t="s">
        <v>233</v>
      </c>
      <c r="AT17" s="647"/>
      <c r="AU17" s="647"/>
      <c r="AV17" s="646"/>
      <c r="AW17" s="636"/>
      <c r="AX17"/>
      <c r="AY17"/>
      <c r="AZ17"/>
      <c r="BA17"/>
      <c r="BB17"/>
      <c r="BC17"/>
      <c r="BD17"/>
      <c r="BE17"/>
      <c r="BF17"/>
      <c r="BG17"/>
      <c r="BH17"/>
    </row>
    <row r="18" spans="1:60" ht="13.5" thickBot="1" x14ac:dyDescent="0.25">
      <c r="B18" s="101"/>
      <c r="D18" s="141"/>
      <c r="T18" s="142"/>
      <c r="AD18"/>
      <c r="AE18"/>
      <c r="AF18"/>
      <c r="AG18"/>
      <c r="AH18"/>
      <c r="AI18"/>
      <c r="AJ18"/>
      <c r="AK18"/>
      <c r="AL18"/>
      <c r="AM18"/>
      <c r="AN18" s="642" t="s">
        <v>79</v>
      </c>
      <c r="AO18" s="645">
        <f>'S-curves'!Z5</f>
        <v>0.6</v>
      </c>
      <c r="AP18" s="643"/>
      <c r="AQ18" s="643"/>
      <c r="AR18" s="639"/>
      <c r="AS18" s="649" t="s">
        <v>105</v>
      </c>
      <c r="AT18" s="650"/>
      <c r="AU18" s="651">
        <f>MATCH('Run Model'!C7,AdoptCols,0)</f>
        <v>4</v>
      </c>
      <c r="AV18" s="650" t="str">
        <f>INDEX(AdoptCols,'7&amp;8 Sleep'!AU18)</f>
        <v>Moderate</v>
      </c>
      <c r="AW18" s="639"/>
      <c r="AX18"/>
      <c r="AY18"/>
      <c r="AZ18"/>
      <c r="BA18"/>
      <c r="BB18"/>
      <c r="BC18"/>
      <c r="BD18"/>
      <c r="BE18"/>
      <c r="BF18"/>
      <c r="BG18"/>
      <c r="BH18"/>
    </row>
    <row r="19" spans="1:60" s="29" customFormat="1" ht="15.75" thickBot="1" x14ac:dyDescent="0.3">
      <c r="A19" s="652"/>
      <c r="B19" s="1544" t="s">
        <v>234</v>
      </c>
      <c r="C19" s="1545"/>
      <c r="D19" s="1545"/>
      <c r="E19" s="1545"/>
      <c r="F19" s="1545"/>
      <c r="G19" s="1546"/>
      <c r="H19" s="1544" t="s">
        <v>220</v>
      </c>
      <c r="I19" s="1545"/>
      <c r="J19" s="1545"/>
      <c r="K19" s="1545"/>
      <c r="L19" s="1545"/>
      <c r="M19" s="1546"/>
      <c r="N19" s="1544" t="s">
        <v>71</v>
      </c>
      <c r="O19" s="1545"/>
      <c r="P19" s="1545"/>
      <c r="Q19" s="1545"/>
      <c r="R19" s="1545"/>
      <c r="S19" s="1546"/>
      <c r="T19" s="1544" t="s">
        <v>107</v>
      </c>
      <c r="U19" s="1545"/>
      <c r="V19" s="1545"/>
      <c r="W19" s="1545"/>
      <c r="X19" s="1546"/>
      <c r="Y19" s="1544" t="s">
        <v>72</v>
      </c>
      <c r="Z19" s="1545"/>
      <c r="AA19" s="1545"/>
      <c r="AB19" s="1545"/>
      <c r="AC19" s="1546"/>
      <c r="AD19" s="1544" t="s">
        <v>92</v>
      </c>
      <c r="AE19" s="1545"/>
      <c r="AF19" s="1545"/>
      <c r="AG19" s="1545"/>
      <c r="AH19" s="1546"/>
      <c r="AI19" s="1544" t="s">
        <v>76</v>
      </c>
      <c r="AJ19" s="1545"/>
      <c r="AK19" s="1545"/>
      <c r="AL19" s="1545"/>
      <c r="AM19" s="1546"/>
      <c r="AN19" s="1544" t="s">
        <v>100</v>
      </c>
      <c r="AO19" s="1545"/>
      <c r="AP19" s="1545"/>
      <c r="AQ19" s="1545"/>
      <c r="AR19" s="1546"/>
      <c r="AS19" s="1544" t="s">
        <v>73</v>
      </c>
      <c r="AT19" s="1545"/>
      <c r="AU19" s="1545"/>
      <c r="AV19" s="1545"/>
      <c r="AW19" s="1546"/>
      <c r="AX19" s="1544" t="s">
        <v>102</v>
      </c>
      <c r="AY19" s="1545"/>
      <c r="AZ19" s="1545"/>
      <c r="BA19" s="1545"/>
      <c r="BB19" s="1546"/>
      <c r="BC19" s="1544" t="s">
        <v>82</v>
      </c>
      <c r="BD19" s="1545"/>
      <c r="BE19" s="1545"/>
      <c r="BF19" s="1545"/>
      <c r="BG19" s="1545"/>
      <c r="BH19" s="1546"/>
    </row>
    <row r="20" spans="1:60" ht="15" customHeight="1" x14ac:dyDescent="0.2">
      <c r="A20" s="144"/>
      <c r="B20" s="880" t="s">
        <v>69</v>
      </c>
      <c r="C20" s="881" t="s">
        <v>65</v>
      </c>
      <c r="D20" s="881" t="s">
        <v>66</v>
      </c>
      <c r="E20" s="881" t="s">
        <v>67</v>
      </c>
      <c r="F20" s="881" t="s">
        <v>205</v>
      </c>
      <c r="G20" s="927" t="s">
        <v>206</v>
      </c>
      <c r="H20" s="880" t="s">
        <v>69</v>
      </c>
      <c r="I20" s="881" t="s">
        <v>65</v>
      </c>
      <c r="J20" s="881" t="s">
        <v>66</v>
      </c>
      <c r="K20" s="881" t="s">
        <v>67</v>
      </c>
      <c r="L20" s="881" t="s">
        <v>205</v>
      </c>
      <c r="M20" s="927" t="s">
        <v>206</v>
      </c>
      <c r="N20" s="880" t="s">
        <v>69</v>
      </c>
      <c r="O20" s="881" t="s">
        <v>65</v>
      </c>
      <c r="P20" s="881" t="s">
        <v>66</v>
      </c>
      <c r="Q20" s="881" t="s">
        <v>67</v>
      </c>
      <c r="R20" s="881" t="s">
        <v>205</v>
      </c>
      <c r="S20" s="927" t="s">
        <v>206</v>
      </c>
      <c r="T20" s="886" t="s">
        <v>65</v>
      </c>
      <c r="U20" s="887" t="s">
        <v>66</v>
      </c>
      <c r="V20" s="887" t="s">
        <v>67</v>
      </c>
      <c r="W20" s="881" t="s">
        <v>205</v>
      </c>
      <c r="X20" s="927" t="s">
        <v>206</v>
      </c>
      <c r="Y20" s="886" t="s">
        <v>65</v>
      </c>
      <c r="Z20" s="887" t="s">
        <v>66</v>
      </c>
      <c r="AA20" s="887" t="s">
        <v>67</v>
      </c>
      <c r="AB20" s="881" t="s">
        <v>205</v>
      </c>
      <c r="AC20" s="927" t="s">
        <v>206</v>
      </c>
      <c r="AD20" s="886" t="s">
        <v>65</v>
      </c>
      <c r="AE20" s="887" t="s">
        <v>66</v>
      </c>
      <c r="AF20" s="887" t="s">
        <v>67</v>
      </c>
      <c r="AG20" s="881" t="s">
        <v>205</v>
      </c>
      <c r="AH20" s="927" t="s">
        <v>206</v>
      </c>
      <c r="AI20" s="979" t="s">
        <v>65</v>
      </c>
      <c r="AJ20" s="980" t="s">
        <v>66</v>
      </c>
      <c r="AK20" s="980" t="s">
        <v>67</v>
      </c>
      <c r="AL20" s="981" t="s">
        <v>205</v>
      </c>
      <c r="AM20" s="982" t="s">
        <v>206</v>
      </c>
      <c r="AN20" s="886" t="s">
        <v>65</v>
      </c>
      <c r="AO20" s="887" t="s">
        <v>66</v>
      </c>
      <c r="AP20" s="887" t="s">
        <v>67</v>
      </c>
      <c r="AQ20" s="881" t="s">
        <v>205</v>
      </c>
      <c r="AR20" s="927" t="s">
        <v>206</v>
      </c>
      <c r="AS20" s="886" t="s">
        <v>65</v>
      </c>
      <c r="AT20" s="887" t="s">
        <v>66</v>
      </c>
      <c r="AU20" s="887" t="s">
        <v>67</v>
      </c>
      <c r="AV20" s="881" t="s">
        <v>205</v>
      </c>
      <c r="AW20" s="927" t="s">
        <v>206</v>
      </c>
      <c r="AX20" s="886" t="s">
        <v>65</v>
      </c>
      <c r="AY20" s="887" t="s">
        <v>66</v>
      </c>
      <c r="AZ20" s="887" t="s">
        <v>67</v>
      </c>
      <c r="BA20" s="881" t="s">
        <v>205</v>
      </c>
      <c r="BB20" s="927" t="s">
        <v>206</v>
      </c>
      <c r="BC20" s="886" t="s">
        <v>69</v>
      </c>
      <c r="BD20" s="887" t="s">
        <v>65</v>
      </c>
      <c r="BE20" s="887" t="s">
        <v>66</v>
      </c>
      <c r="BF20" s="887" t="s">
        <v>67</v>
      </c>
      <c r="BG20" s="881" t="s">
        <v>205</v>
      </c>
      <c r="BH20" s="927" t="s">
        <v>206</v>
      </c>
    </row>
    <row r="21" spans="1:60" s="106" customFormat="1" x14ac:dyDescent="0.2">
      <c r="A21" s="614"/>
      <c r="B21" s="915"/>
      <c r="C21" s="916"/>
      <c r="D21" s="916"/>
      <c r="E21" s="916"/>
      <c r="F21" s="916"/>
      <c r="G21" s="917"/>
      <c r="H21" s="921" t="str">
        <f>IF(INDEX($G$11:$G$16,MATCH(H20,$B$11:$B$16,0))="N/A","Single-fuel","Dual-Fuel")</f>
        <v>Single-fuel</v>
      </c>
      <c r="I21" s="922" t="str">
        <f t="shared" ref="I21:M21" si="2">IF(INDEX($G$11:$G$16,MATCH(I20,$B$11:$B$16,0))="N/A","Single-fuel","Dual-Fuel")</f>
        <v>Single-fuel</v>
      </c>
      <c r="J21" s="922" t="str">
        <f t="shared" si="2"/>
        <v>Single-fuel</v>
      </c>
      <c r="K21" s="922" t="str">
        <f t="shared" si="2"/>
        <v>Single-fuel</v>
      </c>
      <c r="L21" s="922" t="str">
        <f t="shared" si="2"/>
        <v>Single-fuel</v>
      </c>
      <c r="M21" s="923" t="str">
        <f t="shared" si="2"/>
        <v>Dual-Fuel</v>
      </c>
      <c r="N21" s="836" t="str">
        <f>INDEX($F$11:$F$16,MATCH(N20,$B$11:$B$16,0))</f>
        <v>Diesel</v>
      </c>
      <c r="O21" s="837" t="str">
        <f>INDEX($F$11:$F$16,MATCH(O20,$B$11:$B$16,0))</f>
        <v>Diesel</v>
      </c>
      <c r="P21" s="837" t="str">
        <f t="shared" ref="P21" si="3">INDEX($F$11:$F$16,MATCH(P20,$B$11:$B$16,0))</f>
        <v>Diesel</v>
      </c>
      <c r="Q21" s="837" t="str">
        <f t="shared" ref="Q21" si="4">INDEX($F$11:$F$16,MATCH(Q20,$B$11:$B$16,0))</f>
        <v>Electricity</v>
      </c>
      <c r="R21" s="837" t="str">
        <f t="shared" ref="R21" si="5">INDEX($F$11:$F$16,MATCH(R20,$B$11:$B$16,0))</f>
        <v>Hydrogen</v>
      </c>
      <c r="S21" s="838" t="str">
        <f t="shared" ref="S21" si="6">INDEX($F$11:$F$16,MATCH(S20,$B$11:$B$16,0))</f>
        <v>Diesel</v>
      </c>
      <c r="T21" s="1555" t="s">
        <v>117</v>
      </c>
      <c r="U21" s="1556"/>
      <c r="V21" s="1556"/>
      <c r="W21" s="1556"/>
      <c r="X21" s="1557"/>
      <c r="Y21" s="836" t="str">
        <f>INDEX($F$11:$F$16,MATCH(Y20,$B$11:$B$16,0))</f>
        <v>Diesel</v>
      </c>
      <c r="Z21" s="837" t="str">
        <f t="shared" ref="Z21:AC21" si="7">INDEX($F$11:$F$16,MATCH(Z20,$B$11:$B$16,0))</f>
        <v>Diesel</v>
      </c>
      <c r="AA21" s="837" t="str">
        <f t="shared" si="7"/>
        <v>Electricity</v>
      </c>
      <c r="AB21" s="837" t="str">
        <f t="shared" si="7"/>
        <v>Hydrogen</v>
      </c>
      <c r="AC21" s="838" t="str">
        <f t="shared" si="7"/>
        <v>Diesel</v>
      </c>
      <c r="AD21" s="859">
        <f>INDEX($L$11:$L$16,MATCH(AD20,$B$11:$B$16,0))</f>
        <v>5</v>
      </c>
      <c r="AE21" s="860">
        <f>INDEX($L$11:$L$16,MATCH(AE20,$B$11:$B$16,0))</f>
        <v>5</v>
      </c>
      <c r="AF21" s="860">
        <f>INDEX($L$11:$L$16,MATCH(AF20,$B$11:$B$16,0))</f>
        <v>5</v>
      </c>
      <c r="AG21" s="860">
        <f>INDEX($L$11:$L$16,MATCH(AG20,$B$11:$B$16,0))</f>
        <v>5</v>
      </c>
      <c r="AH21" s="861">
        <f>INDEX($L$11:$L$16,MATCH(AH20,$B$11:$B$16,0))</f>
        <v>5</v>
      </c>
      <c r="AI21" s="836">
        <v>0</v>
      </c>
      <c r="AJ21" s="837">
        <f t="shared" ref="AJ21:AM21" si="8">INDEX($J$11:$J$16,MATCH(AJ20,$B$11:$B$16,0))</f>
        <v>0</v>
      </c>
      <c r="AK21" s="837">
        <f t="shared" si="8"/>
        <v>0</v>
      </c>
      <c r="AL21" s="837">
        <f t="shared" si="8"/>
        <v>0</v>
      </c>
      <c r="AM21" s="838">
        <f t="shared" si="8"/>
        <v>0</v>
      </c>
      <c r="AN21" s="836" t="str">
        <f>INDEX($F$11:$F$16,MATCH(AN20,$B$11:$B$16,0))</f>
        <v>Diesel</v>
      </c>
      <c r="AO21" s="837" t="str">
        <f t="shared" ref="AO21" si="9">INDEX($F$11:$F$16,MATCH(AO20,$B$11:$B$16,0))</f>
        <v>Diesel</v>
      </c>
      <c r="AP21" s="837" t="str">
        <f t="shared" ref="AP21" si="10">INDEX($F$11:$F$16,MATCH(AP20,$B$11:$B$16,0))</f>
        <v>Electricity</v>
      </c>
      <c r="AQ21" s="837" t="str">
        <f t="shared" ref="AQ21" si="11">INDEX($F$11:$F$16,MATCH(AQ20,$B$11:$B$16,0))</f>
        <v>Hydrogen</v>
      </c>
      <c r="AR21" s="838" t="str">
        <f t="shared" ref="AR21" si="12">INDEX($F$11:$F$16,MATCH(AR20,$B$11:$B$16,0))</f>
        <v>Diesel</v>
      </c>
      <c r="AS21" s="836" t="str">
        <f>INDEX($F$11:$F$16,MATCH(AS20,$B$11:$B$16,0))</f>
        <v>Diesel</v>
      </c>
      <c r="AT21" s="837" t="str">
        <f t="shared" ref="AT21:AV21" si="13">INDEX($F$11:$F$16,MATCH(AT20,$B$11:$B$16,0))</f>
        <v>Diesel</v>
      </c>
      <c r="AU21" s="837" t="str">
        <f t="shared" ref="AU21" si="14">INDEX($F$11:$F$16,MATCH(AU20,$B$11:$B$16,0))</f>
        <v>Electricity</v>
      </c>
      <c r="AV21" s="837" t="str">
        <f t="shared" si="13"/>
        <v>Hydrogen</v>
      </c>
      <c r="AW21" s="838" t="str">
        <f t="shared" ref="AW21" si="15">INDEX($F$11:$F$16,MATCH(AW20,$B$11:$B$16,0))</f>
        <v>Diesel</v>
      </c>
      <c r="AX21" s="836" t="str">
        <f>INDEX($F$11:$F$16,MATCH(AX20,$B$11:$B$16,0))</f>
        <v>Diesel</v>
      </c>
      <c r="AY21" s="837" t="str">
        <f t="shared" ref="AY21" si="16">INDEX($F$11:$F$16,MATCH(AY20,$B$11:$B$16,0))</f>
        <v>Diesel</v>
      </c>
      <c r="AZ21" s="837" t="str">
        <f t="shared" ref="AZ21" si="17">INDEX($F$11:$F$16,MATCH(AZ20,$B$11:$B$16,0))</f>
        <v>Electricity</v>
      </c>
      <c r="BA21" s="837" t="str">
        <f t="shared" ref="BA21" si="18">INDEX($F$11:$F$16,MATCH(BA20,$B$11:$B$16,0))</f>
        <v>Hydrogen</v>
      </c>
      <c r="BB21" s="838" t="str">
        <f t="shared" ref="BB21" si="19">INDEX($F$11:$F$16,MATCH(BB20,$B$11:$B$16,0))</f>
        <v>Diesel</v>
      </c>
      <c r="BC21" s="869" t="str">
        <f>INDEX($F$11:$F$16,MATCH(BC20,$B$11:$B$16,0))</f>
        <v>Diesel</v>
      </c>
      <c r="BD21" s="837" t="str">
        <f>INDEX($F$11:$F$16,MATCH(BD20,$B$11:$B$16,0))</f>
        <v>Diesel</v>
      </c>
      <c r="BE21" s="837" t="str">
        <f t="shared" ref="BE21" si="20">INDEX($F$11:$F$16,MATCH(BE20,$B$11:$B$16,0))</f>
        <v>Diesel</v>
      </c>
      <c r="BF21" s="837" t="str">
        <f t="shared" ref="BF21" si="21">INDEX($F$11:$F$16,MATCH(BF20,$B$11:$B$16,0))</f>
        <v>Electricity</v>
      </c>
      <c r="BG21" s="837" t="str">
        <f t="shared" ref="BG21" si="22">INDEX($F$11:$F$16,MATCH(BG20,$B$11:$B$16,0))</f>
        <v>Hydrogen</v>
      </c>
      <c r="BH21" s="838" t="str">
        <f t="shared" ref="BH21" si="23">INDEX($F$11:$F$16,MATCH(BH20,$B$11:$B$16,0))</f>
        <v>Diesel</v>
      </c>
    </row>
    <row r="22" spans="1:60" x14ac:dyDescent="0.2">
      <c r="A22" s="614"/>
      <c r="B22" s="915"/>
      <c r="C22" s="916"/>
      <c r="D22" s="916"/>
      <c r="E22" s="916"/>
      <c r="F22" s="916"/>
      <c r="G22" s="917"/>
      <c r="H22" s="921"/>
      <c r="I22" s="922"/>
      <c r="J22" s="922"/>
      <c r="K22" s="922"/>
      <c r="L22" s="922"/>
      <c r="M22" s="923"/>
      <c r="N22" s="839"/>
      <c r="O22" s="840"/>
      <c r="P22" s="840"/>
      <c r="Q22" s="840"/>
      <c r="R22" s="840"/>
      <c r="S22" s="841"/>
      <c r="T22" s="845">
        <f>INDEX($Q$11:$Q$16,MATCH(T20,$B$11:$B$16,0))</f>
        <v>0</v>
      </c>
      <c r="U22" s="846">
        <f>INDEX($Q$11:$Q$16,MATCH(U20,$B$11:$B$16,0))</f>
        <v>0</v>
      </c>
      <c r="V22" s="846">
        <f>INDEX($Q$11:$Q$16,MATCH(V20,$B$11:$B$16,0))</f>
        <v>0</v>
      </c>
      <c r="W22" s="846">
        <f>INDEX($Q$11:$Q$16,MATCH(W20,$B$11:$B$16,0))</f>
        <v>0</v>
      </c>
      <c r="X22" s="847">
        <f>INDEX($Q$11:$Q$16,MATCH(X20,$B$11:$B$16,0))</f>
        <v>0</v>
      </c>
      <c r="Y22" s="853" t="b">
        <f>INDEX($H$11:$H$16,MATCH(Y20,$B$11:$B$16,0))</f>
        <v>0</v>
      </c>
      <c r="Z22" s="854" t="b">
        <f t="shared" ref="Z22:AC22" si="24">INDEX($H$11:$H$16,MATCH(Z20,$B$11:$B$16,0))</f>
        <v>0</v>
      </c>
      <c r="AA22" s="854" t="b">
        <f t="shared" si="24"/>
        <v>1</v>
      </c>
      <c r="AB22" s="854" t="b">
        <f t="shared" si="24"/>
        <v>0</v>
      </c>
      <c r="AC22" s="855" t="b">
        <f t="shared" si="24"/>
        <v>0</v>
      </c>
      <c r="AD22" s="836">
        <f>INDEX($M$11:$M$16,MATCH(AD20,$B$11:$B$16,0))</f>
        <v>5</v>
      </c>
      <c r="AE22" s="862">
        <f>INDEX($M$11:$M$16,MATCH(AE20,$B$11:$B$16,0))</f>
        <v>5</v>
      </c>
      <c r="AF22" s="862">
        <f>INDEX($M$11:$M$16,MATCH(AF20,$B$11:$B$16,0))</f>
        <v>5</v>
      </c>
      <c r="AG22" s="862">
        <f>INDEX($M$11:$M$16,MATCH(AG20,$B$11:$B$16,0))</f>
        <v>5</v>
      </c>
      <c r="AH22" s="863">
        <f>INDEX($M$11:$M$16,MATCH(AH20,$B$11:$B$16,0))</f>
        <v>5</v>
      </c>
      <c r="AI22" s="836">
        <f>INDEX($K$11:$K$16,MATCH(AI20,$B$11:$B$16,0))</f>
        <v>0.5</v>
      </c>
      <c r="AJ22" s="837">
        <f t="shared" ref="AJ22:AM22" si="25">INDEX($K$11:$K$16,MATCH(AJ20,$B$11:$B$16,0))</f>
        <v>0.5</v>
      </c>
      <c r="AK22" s="837">
        <f t="shared" si="25"/>
        <v>0.5</v>
      </c>
      <c r="AL22" s="837">
        <f t="shared" si="25"/>
        <v>0.5</v>
      </c>
      <c r="AM22" s="838">
        <f t="shared" si="25"/>
        <v>0.5</v>
      </c>
      <c r="AN22" s="836"/>
      <c r="AO22" s="837"/>
      <c r="AP22" s="837"/>
      <c r="AQ22" s="837"/>
      <c r="AR22" s="838"/>
      <c r="AS22" s="853"/>
      <c r="AT22" s="854"/>
      <c r="AU22" s="854"/>
      <c r="AV22" s="854"/>
      <c r="AW22" s="855"/>
      <c r="AX22" s="853"/>
      <c r="AY22" s="854"/>
      <c r="AZ22" s="854"/>
      <c r="BA22" s="854"/>
      <c r="BB22" s="855"/>
      <c r="BC22" s="853"/>
      <c r="BD22" s="854"/>
      <c r="BE22" s="854"/>
      <c r="BF22" s="854"/>
      <c r="BG22" s="854"/>
      <c r="BH22" s="855"/>
    </row>
    <row r="23" spans="1:60" ht="13.5" thickBot="1" x14ac:dyDescent="0.25">
      <c r="A23" s="593"/>
      <c r="B23" s="918"/>
      <c r="C23" s="919"/>
      <c r="D23" s="919"/>
      <c r="E23" s="919"/>
      <c r="F23" s="919"/>
      <c r="G23" s="920"/>
      <c r="H23" s="924"/>
      <c r="I23" s="925"/>
      <c r="J23" s="925"/>
      <c r="K23" s="925"/>
      <c r="L23" s="925"/>
      <c r="M23" s="926"/>
      <c r="N23" s="842"/>
      <c r="O23" s="843"/>
      <c r="P23" s="843"/>
      <c r="Q23" s="843"/>
      <c r="R23" s="843"/>
      <c r="S23" s="844"/>
      <c r="T23" s="848"/>
      <c r="U23" s="849"/>
      <c r="V23" s="849"/>
      <c r="W23" s="849"/>
      <c r="X23" s="850"/>
      <c r="Y23" s="856"/>
      <c r="Z23" s="857"/>
      <c r="AA23" s="857"/>
      <c r="AB23" s="857"/>
      <c r="AC23" s="858"/>
      <c r="AD23" s="864"/>
      <c r="AE23" s="865"/>
      <c r="AF23" s="865"/>
      <c r="AG23" s="865"/>
      <c r="AH23" s="866"/>
      <c r="AI23" s="864">
        <f>INDEX($I$11:$I$16,MATCH(AI20,$B$11:$B$16,0))</f>
        <v>2025</v>
      </c>
      <c r="AJ23" s="867">
        <f>INDEX($I$11:$I$16,MATCH(AJ20,$B$11:$B$16,0))</f>
        <v>2025</v>
      </c>
      <c r="AK23" s="867">
        <f>INDEX($I$11:$I$16,MATCH(AK20,$B$11:$B$16,0))</f>
        <v>2025</v>
      </c>
      <c r="AL23" s="867">
        <f>INDEX($I$11:$I$16,MATCH(AL20,$B$11:$B$16,0))</f>
        <v>2025</v>
      </c>
      <c r="AM23" s="868">
        <f>INDEX($I$11:$I$16,MATCH(AM20,$B$11:$B$16,0))</f>
        <v>2025</v>
      </c>
      <c r="AN23" s="864"/>
      <c r="AO23" s="867"/>
      <c r="AP23" s="867"/>
      <c r="AQ23" s="867"/>
      <c r="AR23" s="868"/>
      <c r="AS23" s="856"/>
      <c r="AT23" s="857"/>
      <c r="AU23" s="857"/>
      <c r="AV23" s="857"/>
      <c r="AW23" s="858"/>
      <c r="AX23" s="856"/>
      <c r="AY23" s="857"/>
      <c r="AZ23" s="857"/>
      <c r="BA23" s="857"/>
      <c r="BB23" s="858"/>
      <c r="BC23" s="856"/>
      <c r="BD23" s="857"/>
      <c r="BE23" s="857"/>
      <c r="BF23" s="857"/>
      <c r="BG23" s="857"/>
      <c r="BH23" s="858"/>
    </row>
    <row r="24" spans="1:60" ht="13.5" thickTop="1" x14ac:dyDescent="0.2">
      <c r="A24" s="456">
        <v>2007</v>
      </c>
      <c r="B24" s="656">
        <f t="shared" ref="B24:G33" si="26">ROUND(INDEX(COST_Cls1,$A24-($A$24-1),MATCH(B$20,TECHOPTS_Cls1,0)),2)</f>
        <v>151412</v>
      </c>
      <c r="C24" s="656">
        <f t="shared" si="26"/>
        <v>1000000</v>
      </c>
      <c r="D24" s="656">
        <f t="shared" si="26"/>
        <v>1000000</v>
      </c>
      <c r="E24" s="656">
        <f t="shared" si="26"/>
        <v>1000000</v>
      </c>
      <c r="F24" s="656">
        <f t="shared" si="26"/>
        <v>1000000</v>
      </c>
      <c r="G24" s="657">
        <f t="shared" si="26"/>
        <v>1000000</v>
      </c>
      <c r="H24" s="628">
        <f t="shared" ref="H24:M33" si="27">IF(H$21="Single-fuel",1,1-MIN(INDEX(CDRANGE_CLS1,$A24-($A$24-1),MATCH(H$20,TECHOPTS_Cls1,0))*OPDAYS_Cls1/$D$6,1))</f>
        <v>1</v>
      </c>
      <c r="I24" s="629">
        <f t="shared" si="27"/>
        <v>1</v>
      </c>
      <c r="J24" s="629">
        <f t="shared" si="27"/>
        <v>1</v>
      </c>
      <c r="K24" s="629">
        <f t="shared" si="27"/>
        <v>1</v>
      </c>
      <c r="L24" s="629">
        <f t="shared" si="27"/>
        <v>1</v>
      </c>
      <c r="M24" s="630">
        <f t="shared" si="27"/>
        <v>1</v>
      </c>
      <c r="N24" s="148">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148">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148">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148">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148">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148">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147">
        <f>$N24-O24+T$22</f>
        <v>-36316.299317944089</v>
      </c>
      <c r="U24" s="148">
        <f t="shared" ref="U24:X24" si="34">$N24-P24+U$22</f>
        <v>-36316.299317944089</v>
      </c>
      <c r="V24" s="148">
        <f t="shared" si="34"/>
        <v>-158383.52160010824</v>
      </c>
      <c r="W24" s="148">
        <f t="shared" si="34"/>
        <v>-224185.02017000638</v>
      </c>
      <c r="X24" s="150">
        <f t="shared" si="34"/>
        <v>-36316.299317944089</v>
      </c>
      <c r="Y24" s="151">
        <f ca="1">IF(AND(Y$22=TRUE,INDEX(CDRANGE_CLS1,MATCH($A24,$A$24:$A$67,0),MATCH(Y$20,$B$20:$G$20,0))&lt;$D$6/OPDAYS_Cls1),86,payback(C24,T24,disc_rate/12,85))</f>
        <v>86</v>
      </c>
      <c r="Z24" s="152">
        <f ca="1">IF(AND(Z$22=TRUE,INDEX(CDRANGE_CLS1,MATCH($A24,$A$24:$A$67,0),MATCH(Z$20,$B$20:$G$20,0))&lt;$D$6/OPDAYS_Cls1),86,payback(D24,U24,disc_rate/12,85))</f>
        <v>86</v>
      </c>
      <c r="AA24" s="152">
        <f>IF(AND(AA$22=TRUE,INDEX(CDRANGE_CLS1,MATCH($A24,$A$24:$A$67,0),MATCH(AA$20,$B$20:$G$20,0))&lt;$D$6/OPDAYS_Cls1),86,payback(E24,V24,disc_rate/12,85))</f>
        <v>86</v>
      </c>
      <c r="AB24" s="152">
        <f ca="1">IF(AND(AB$22=TRUE,INDEX(CDRANGE_CLS1,MATCH($A24,$A$24:$A$67,0),MATCH(AB$20,$B$20:$G$20,0))&lt;$D$6/OPDAYS_Cls1),86,payback(F24,W24,disc_rate/12,85))</f>
        <v>86</v>
      </c>
      <c r="AC24" s="153">
        <f ca="1">IF(AND(AC$22=TRUE,INDEX(CDRANGE_CLS1,MATCH($A24,$A$24:$A$67,0),MATCH(AC$20,$B$20:$G$20,0))&lt;$D$6/OPDAYS_Cls1),86,payback(G24,X24,disc_rate/12,85))</f>
        <v>86</v>
      </c>
      <c r="AD24" s="154">
        <f t="shared" ref="AD24:AD67" si="35">IF(AND(C24&lt;=AD$21,ABS($N24-O24)&lt;=AD$22),AI24*VLOOKUP(C24/AD$21,FirstCostInd,2,TRUE)*VLOOKUP(($N24-O24)/AD$22,FuelCostInd,2,1),0)</f>
        <v>0</v>
      </c>
      <c r="AE24" s="155">
        <f t="shared" ref="AE24:AE67" si="36">IF(AND(D24&lt;=AE$21,ABS($N24-P24)&lt;=AE$22),AJ24*VLOOKUP(D24/AE$21,FirstCostInd,2,TRUE)*VLOOKUP(($N24-P24)/AE$22,FuelCostInd,2,1),0)</f>
        <v>0</v>
      </c>
      <c r="AF24" s="155">
        <f t="shared" ref="AF24:AF67" si="37">IF(AND(E24&lt;=AF$21,ABS($N24-Q24)&lt;=AF$22),AK24*VLOOKUP(E24/AF$21,FirstCostInd,2,TRUE)*VLOOKUP(($N24-Q24)/AF$22,FuelCostInd,2,1),0)</f>
        <v>0</v>
      </c>
      <c r="AG24" s="155">
        <f t="shared" ref="AG24:AG67" si="38">IF(AND(F24&lt;=AG$21,ABS($N24-R24)&lt;=AG$22),AL24*VLOOKUP(F24/AG$21,FirstCostInd,2,TRUE)*VLOOKUP(($N24-R24)/AG$22,FuelCostInd,2,1),0)</f>
        <v>0</v>
      </c>
      <c r="AH24" s="491">
        <f t="shared" ref="AH24:AH67" si="39">IF(AND(G24&lt;=AH$21,ABS($N24-S24)&lt;=AH$22),AM24*VLOOKUP(G24/AH$21,FirstCostInd,2,TRUE)*VLOOKUP(($N24-S24)/AH$22,FuelCostInd,2,1),0)</f>
        <v>0</v>
      </c>
      <c r="AI24" s="983">
        <f t="shared" ref="AI24:AI67" si="40">IF($A24&lt;AI$23,0,AI$21+VLOOKUP($A24-AI$23,SCdata,2,1)*(AI$22-AI$21))*IF($D$5="Non-Central",INDEX(fuel_avail,$A24-$A$24+1,MATCH(O$21,Fuels,0)),1)</f>
        <v>0</v>
      </c>
      <c r="AJ24" s="984">
        <f t="shared" ref="AJ24:AJ67" si="41">IF($A24&lt;AJ$23,0,AJ$21+VLOOKUP($A24-AJ$23,SCdata,2,1)*(AJ$22-AJ$21))*IF($D$5="Non-Central",INDEX(fuel_avail,$A24-$A$24+1,MATCH(P$21,Fuels,0)),1)</f>
        <v>0</v>
      </c>
      <c r="AK24" s="984">
        <f t="shared" ref="AK24:AK67" si="42">IF($A24&lt;AK$23,0,AK$21+VLOOKUP($A24-AK$23,SCdata,2,1)*(AK$22-AK$21))*IF($D$5="Non-Central",INDEX(fuel_avail,$A24-$A$24+1,MATCH(Q$21,Fuels,0)),1)</f>
        <v>0</v>
      </c>
      <c r="AL24" s="984">
        <f t="shared" ref="AL24:AL67" si="43">IF($A24&lt;AL$23,0,AL$21+VLOOKUP($A24-AL$23,SCdata,2,1)*(AL$22-AL$21))*IF($D$5="Non-Central",INDEX(fuel_avail,$A24-$A$24+1,MATCH(R$21,Fuels,0)),1)</f>
        <v>0</v>
      </c>
      <c r="AM24" s="985">
        <f t="shared" ref="AM24:AM67" si="44">IF($A24&lt;AM$23,0,AM$21+VLOOKUP($A24-AM$23,SCdata,2,1)*(AM$22-AM$21))*IF($D$5="Non-Central",INDEX(fuel_avail,$A24-$A$24+1,MATCH(S$21,Fuels,0)),1)</f>
        <v>0</v>
      </c>
      <c r="AN24" s="157">
        <f>IF(C24&lt;0,1,$AQ$17*(1-WEIBULL(C24/$B24,$AO$17,$AO$18,1)))</f>
        <v>0</v>
      </c>
      <c r="AO24" s="158">
        <f t="shared" ref="AO24:AR24" si="45">IF(D24&lt;0,1,$AQ$17*(1-WEIBULL(D24/$B24,$AO$17,$AO$18,1)))</f>
        <v>0</v>
      </c>
      <c r="AP24" s="158">
        <f t="shared" si="45"/>
        <v>0</v>
      </c>
      <c r="AQ24" s="158">
        <f t="shared" si="45"/>
        <v>0</v>
      </c>
      <c r="AR24" s="159">
        <f t="shared" si="45"/>
        <v>0</v>
      </c>
      <c r="AS24" s="154">
        <f t="shared" ref="AS24:AS67" ca="1" si="46">IF(AD24&gt;0,AD24,MIN(1,IF(Y24&gt;85,0,(AI24/0.5)*VLOOKUP(Y24,AdoptDec,$AU$18,0))))</f>
        <v>0</v>
      </c>
      <c r="AT24" s="155">
        <f t="shared" ref="AT24:AT67" ca="1" si="47">IF(AE24&gt;0,AE24,MIN(1,IF(Z24&gt;85,0,(AJ24/0.5)*VLOOKUP(Z24,AdoptDec,$AU$18,0))))</f>
        <v>0</v>
      </c>
      <c r="AU24" s="653">
        <f t="shared" ref="AU24:AU67" si="48">IF(AF24&gt;0,AF24,MIN(1,IF(AA24&gt;85,0,(AK24/0.5)*VLOOKUP(AA24,AdoptDec,$AU$18,0))))</f>
        <v>0</v>
      </c>
      <c r="AV24" s="653">
        <f t="shared" ref="AV24:AV67" ca="1" si="49">IF(AG24&gt;0,AG24,MIN(1,IF(AB24&gt;85,0,(AL24/0.5)*VLOOKUP(AB24,AdoptDec,$AU$18,0))))</f>
        <v>0</v>
      </c>
      <c r="AW24" s="654">
        <f t="shared" ref="AW24:AW67" ca="1" si="50">IF(AH24&gt;0,AH24,MIN(1,IF(AC24&gt;85,0,(AM24/0.5)*VLOOKUP(AC24,AdoptDec,$AU$18,0))))</f>
        <v>0</v>
      </c>
      <c r="AX24" s="603">
        <f t="shared" ref="AX24:AX67" ca="1" si="51">MIN(AS24*AN24,1)</f>
        <v>0</v>
      </c>
      <c r="AY24" s="155">
        <f t="shared" ref="AY24:AY67" ca="1" si="52">MIN(AT24*AO24,1)</f>
        <v>0</v>
      </c>
      <c r="AZ24" s="155">
        <f t="shared" ref="AZ24:AZ67" si="53">MIN(AU24*AP24,1)</f>
        <v>0</v>
      </c>
      <c r="BA24" s="155">
        <f t="shared" ref="BA24" ca="1" si="54">MIN(AV24*AQ24,1)</f>
        <v>0</v>
      </c>
      <c r="BB24" s="491">
        <f t="shared" ref="BB24" ca="1" si="55">MIN(AW24*AR24,1)</f>
        <v>0</v>
      </c>
      <c r="BC24" s="154">
        <f ca="1">1-SUM(BD24:BH24)</f>
        <v>1</v>
      </c>
      <c r="BD24" s="155">
        <f t="shared" ref="BD24:BD67" ca="1" si="56">IF(SUM($AX24:$BB24)=0,0,MAX($AX24:$BB24)*(AI24*AX24/SUMPRODUCT($AI24:$AM24,$AX24:$BB24)))</f>
        <v>0</v>
      </c>
      <c r="BE24" s="155">
        <f t="shared" ref="BE24:BE67" ca="1" si="57">IF(SUM($AX24:$BB24)=0,0,MAX($AX24:$BB24)*(AJ24*AY24/SUMPRODUCT($AI24:$AM24,$AX24:$BB24)))</f>
        <v>0</v>
      </c>
      <c r="BF24" s="155">
        <f t="shared" ref="BF24:BF67" ca="1" si="58">IF(SUM($AX24:$BB24)=0,0,MAX($AX24:$BB24)*(AK24*AZ24/SUMPRODUCT($AI24:$AM24,$AX24:$BB24)))</f>
        <v>0</v>
      </c>
      <c r="BG24" s="155">
        <f t="shared" ref="BG24:BG67" ca="1" si="59">IF(SUM($AX24:$BB24)=0,0,MAX($AX24:$BB24)*(AL24*BA24/SUMPRODUCT($AI24:$AM24,$AX24:$BB24)))</f>
        <v>0</v>
      </c>
      <c r="BH24" s="156">
        <f t="shared" ref="BH24:BH67" ca="1" si="60">IF(SUM($AX24:$BB24)=0,0,MAX($AX24:$BB24)*(AM24*BB24/SUMPRODUCT($AI24:$AM24,$AX24:$BB24)))</f>
        <v>0</v>
      </c>
    </row>
    <row r="25" spans="1:60" x14ac:dyDescent="0.2">
      <c r="A25" s="160">
        <v>2008</v>
      </c>
      <c r="B25" s="658">
        <f t="shared" si="26"/>
        <v>151412</v>
      </c>
      <c r="C25" s="659">
        <f t="shared" si="26"/>
        <v>1000000</v>
      </c>
      <c r="D25" s="659">
        <f t="shared" si="26"/>
        <v>1000000</v>
      </c>
      <c r="E25" s="659">
        <f t="shared" si="26"/>
        <v>1000000</v>
      </c>
      <c r="F25" s="659">
        <f t="shared" si="26"/>
        <v>1000000</v>
      </c>
      <c r="G25" s="660">
        <f t="shared" si="26"/>
        <v>1000000</v>
      </c>
      <c r="H25" s="628">
        <f t="shared" si="27"/>
        <v>1</v>
      </c>
      <c r="I25" s="629">
        <f t="shared" si="27"/>
        <v>1</v>
      </c>
      <c r="J25" s="629">
        <f t="shared" si="27"/>
        <v>1</v>
      </c>
      <c r="K25" s="629">
        <f t="shared" si="27"/>
        <v>1</v>
      </c>
      <c r="L25" s="629">
        <f t="shared" si="27"/>
        <v>1</v>
      </c>
      <c r="M25" s="630">
        <f t="shared" si="27"/>
        <v>1</v>
      </c>
      <c r="N25" s="147">
        <f t="shared" si="28"/>
        <v>10087.203638183901</v>
      </c>
      <c r="O25" s="148">
        <f t="shared" si="29"/>
        <v>59795.670680233598</v>
      </c>
      <c r="P25" s="148">
        <f t="shared" si="30"/>
        <v>59795.670680233598</v>
      </c>
      <c r="Q25" s="148">
        <f t="shared" si="31"/>
        <v>215280.1693898236</v>
      </c>
      <c r="R25" s="148">
        <f t="shared" si="32"/>
        <v>231554.58773875586</v>
      </c>
      <c r="S25" s="150">
        <f t="shared" si="33"/>
        <v>59795.670680233598</v>
      </c>
      <c r="T25" s="161">
        <f t="shared" ref="T25:T67" si="61">$N25-O25+T$22</f>
        <v>-49708.467042049699</v>
      </c>
      <c r="U25" s="162">
        <f t="shared" ref="U25:U67" si="62">$N25-P25+U$22</f>
        <v>-49708.467042049699</v>
      </c>
      <c r="V25" s="162">
        <f t="shared" ref="V25:V67" si="63">$N25-Q25+V$22</f>
        <v>-205192.96575163968</v>
      </c>
      <c r="W25" s="162">
        <f t="shared" ref="W25:W67" si="64">$N25-R25+W$22</f>
        <v>-221467.38410057194</v>
      </c>
      <c r="X25" s="164">
        <f t="shared" ref="X25:X67" si="65">$N25-S25+X$22</f>
        <v>-49708.467042049699</v>
      </c>
      <c r="Y25" s="165">
        <f ca="1">IF(AND(Y$22=TRUE,INDEX(CDRANGE_CLS1,MATCH($A25,$A$24:$A$67,0),MATCH(Y$20,$B$20:$G$20,0))&lt;$D$6/OPDAYS_Cls1),86,payback(C25,T25,disc_rate/12,85))</f>
        <v>86</v>
      </c>
      <c r="Z25" s="166">
        <f ca="1">IF(AND(Z$22=TRUE,INDEX(CDRANGE_CLS1,MATCH($A25,$A$24:$A$67,0),MATCH(Z$20,$B$20:$G$20,0))&lt;$D$6/OPDAYS_Cls1),86,payback(D25,U25,disc_rate/12,85))</f>
        <v>86</v>
      </c>
      <c r="AA25" s="166">
        <f>IF(AND(AA$22=TRUE,INDEX(CDRANGE_CLS1,MATCH($A25,$A$24:$A$67,0),MATCH(AA$20,$B$20:$G$20,0))&lt;$D$6/OPDAYS_Cls1),86,payback(E25,V25,disc_rate/12,85))</f>
        <v>86</v>
      </c>
      <c r="AB25" s="166">
        <f ca="1">IF(AND(AB$22=TRUE,INDEX(CDRANGE_CLS1,MATCH($A25,$A$24:$A$67,0),MATCH(AB$20,$B$20:$G$20,0))&lt;$D$6/OPDAYS_Cls1),86,payback(F25,W25,disc_rate/12,85))</f>
        <v>86</v>
      </c>
      <c r="AC25" s="167">
        <f ca="1">IF(AND(AC$22=TRUE,INDEX(CDRANGE_CLS1,MATCH($A25,$A$24:$A$67,0),MATCH(AC$20,$B$20:$G$20,0))&lt;$D$6/OPDAYS_Cls1),86,payback(G25,X25,disc_rate/12,85))</f>
        <v>86</v>
      </c>
      <c r="AD25" s="168">
        <f t="shared" si="35"/>
        <v>0</v>
      </c>
      <c r="AE25" s="169">
        <f t="shared" si="36"/>
        <v>0</v>
      </c>
      <c r="AF25" s="169">
        <f t="shared" si="37"/>
        <v>0</v>
      </c>
      <c r="AG25" s="169">
        <f t="shared" si="38"/>
        <v>0</v>
      </c>
      <c r="AH25" s="444">
        <f t="shared" si="39"/>
        <v>0</v>
      </c>
      <c r="AI25" s="986">
        <f t="shared" si="40"/>
        <v>0</v>
      </c>
      <c r="AJ25" s="987">
        <f t="shared" si="41"/>
        <v>0</v>
      </c>
      <c r="AK25" s="987">
        <f t="shared" si="42"/>
        <v>0</v>
      </c>
      <c r="AL25" s="987">
        <f t="shared" si="43"/>
        <v>0</v>
      </c>
      <c r="AM25" s="988">
        <f t="shared" si="44"/>
        <v>0</v>
      </c>
      <c r="AN25" s="171">
        <f t="shared" ref="AN25:AN67" si="66">IF(C25&lt;0,1,$AQ$17*(1-WEIBULL(C25/$B25,$AO$17,$AO$18,1)))</f>
        <v>0</v>
      </c>
      <c r="AO25" s="172">
        <f t="shared" ref="AO25:AO67" si="67">IF(D25&lt;0,1,$AQ$17*(1-WEIBULL(D25/$B25,$AO$17,$AO$18,1)))</f>
        <v>0</v>
      </c>
      <c r="AP25" s="172">
        <f t="shared" ref="AP25:AP67" si="68">IF(E25&lt;0,1,$AQ$17*(1-WEIBULL(E25/$B25,$AO$17,$AO$18,1)))</f>
        <v>0</v>
      </c>
      <c r="AQ25" s="172">
        <f t="shared" ref="AQ25:AQ67" si="69">IF(F25&lt;0,1,$AQ$17*(1-WEIBULL(F25/$B25,$AO$17,$AO$18,1)))</f>
        <v>0</v>
      </c>
      <c r="AR25" s="173">
        <f t="shared" ref="AR25:AR67" si="70">IF(G25&lt;0,1,$AQ$17*(1-WEIBULL(G25/$B25,$AO$17,$AO$18,1)))</f>
        <v>0</v>
      </c>
      <c r="AS25" s="168">
        <f t="shared" ca="1" si="46"/>
        <v>0</v>
      </c>
      <c r="AT25" s="169">
        <f t="shared" ca="1" si="47"/>
        <v>0</v>
      </c>
      <c r="AU25" s="169">
        <f t="shared" si="48"/>
        <v>0</v>
      </c>
      <c r="AV25" s="169">
        <f t="shared" ca="1" si="49"/>
        <v>0</v>
      </c>
      <c r="AW25" s="170">
        <f t="shared" ca="1" si="50"/>
        <v>0</v>
      </c>
      <c r="AX25" s="604">
        <f t="shared" ca="1" si="51"/>
        <v>0</v>
      </c>
      <c r="AY25" s="169">
        <f t="shared" ca="1" si="52"/>
        <v>0</v>
      </c>
      <c r="AZ25" s="169">
        <f t="shared" si="53"/>
        <v>0</v>
      </c>
      <c r="BA25" s="169">
        <f t="shared" ref="BA25:BA67" ca="1" si="71">MIN(AV25*AQ25,1)</f>
        <v>0</v>
      </c>
      <c r="BB25" s="444">
        <f t="shared" ref="BB25:BB67" ca="1" si="72">MIN(AW25*AR25,1)</f>
        <v>0</v>
      </c>
      <c r="BC25" s="168">
        <f t="shared" ref="BC25:BC67" ca="1" si="73">1-SUM(BD25:BH25)</f>
        <v>1</v>
      </c>
      <c r="BD25" s="169">
        <f t="shared" ca="1" si="56"/>
        <v>0</v>
      </c>
      <c r="BE25" s="169">
        <f t="shared" ca="1" si="57"/>
        <v>0</v>
      </c>
      <c r="BF25" s="169">
        <f t="shared" ca="1" si="58"/>
        <v>0</v>
      </c>
      <c r="BG25" s="169">
        <f t="shared" ca="1" si="59"/>
        <v>0</v>
      </c>
      <c r="BH25" s="170">
        <f t="shared" ca="1" si="60"/>
        <v>0</v>
      </c>
    </row>
    <row r="26" spans="1:60" x14ac:dyDescent="0.2">
      <c r="A26" s="160">
        <v>2009</v>
      </c>
      <c r="B26" s="658">
        <f t="shared" si="26"/>
        <v>151412</v>
      </c>
      <c r="C26" s="659">
        <f t="shared" si="26"/>
        <v>1000000</v>
      </c>
      <c r="D26" s="659">
        <f t="shared" si="26"/>
        <v>1000000</v>
      </c>
      <c r="E26" s="659">
        <f t="shared" si="26"/>
        <v>1000000</v>
      </c>
      <c r="F26" s="659">
        <f t="shared" si="26"/>
        <v>1000000</v>
      </c>
      <c r="G26" s="660">
        <f t="shared" si="26"/>
        <v>1000000</v>
      </c>
      <c r="H26" s="628">
        <f t="shared" si="27"/>
        <v>1</v>
      </c>
      <c r="I26" s="629">
        <f t="shared" si="27"/>
        <v>1</v>
      </c>
      <c r="J26" s="629">
        <f t="shared" si="27"/>
        <v>1</v>
      </c>
      <c r="K26" s="629">
        <f t="shared" si="27"/>
        <v>1</v>
      </c>
      <c r="L26" s="629">
        <f t="shared" si="27"/>
        <v>1</v>
      </c>
      <c r="M26" s="630">
        <f t="shared" si="27"/>
        <v>1</v>
      </c>
      <c r="N26" s="147">
        <f t="shared" si="28"/>
        <v>6519.9682002425943</v>
      </c>
      <c r="O26" s="148">
        <f t="shared" si="29"/>
        <v>38649.549005981295</v>
      </c>
      <c r="P26" s="148">
        <f t="shared" si="30"/>
        <v>38649.549005981295</v>
      </c>
      <c r="Q26" s="148">
        <f t="shared" si="31"/>
        <v>322608.6014847412</v>
      </c>
      <c r="R26" s="148">
        <f t="shared" si="32"/>
        <v>231554.58773875586</v>
      </c>
      <c r="S26" s="150">
        <f t="shared" si="33"/>
        <v>38649.549005981295</v>
      </c>
      <c r="T26" s="161">
        <f t="shared" si="61"/>
        <v>-32129.5808057387</v>
      </c>
      <c r="U26" s="162">
        <f t="shared" si="62"/>
        <v>-32129.5808057387</v>
      </c>
      <c r="V26" s="162">
        <f t="shared" si="63"/>
        <v>-316088.63328449859</v>
      </c>
      <c r="W26" s="162">
        <f t="shared" si="64"/>
        <v>-225034.61953851327</v>
      </c>
      <c r="X26" s="164">
        <f t="shared" si="65"/>
        <v>-32129.5808057387</v>
      </c>
      <c r="Y26" s="165">
        <f ca="1">IF(AND(Y$22=TRUE,INDEX(CDRANGE_CLS1,MATCH($A26,$A$24:$A$67,0),MATCH(Y$20,$B$20:$G$20,0))&lt;$D$6/OPDAYS_Cls1),86,payback(C26,T26,disc_rate/12,85))</f>
        <v>86</v>
      </c>
      <c r="Z26" s="166">
        <f ca="1">IF(AND(Z$22=TRUE,INDEX(CDRANGE_CLS1,MATCH($A26,$A$24:$A$67,0),MATCH(Z$20,$B$20:$G$20,0))&lt;$D$6/OPDAYS_Cls1),86,payback(D26,U26,disc_rate/12,85))</f>
        <v>86</v>
      </c>
      <c r="AA26" s="166">
        <f>IF(AND(AA$22=TRUE,INDEX(CDRANGE_CLS1,MATCH($A26,$A$24:$A$67,0),MATCH(AA$20,$B$20:$G$20,0))&lt;$D$6/OPDAYS_Cls1),86,payback(E26,V26,disc_rate/12,85))</f>
        <v>86</v>
      </c>
      <c r="AB26" s="166">
        <f ca="1">IF(AND(AB$22=TRUE,INDEX(CDRANGE_CLS1,MATCH($A26,$A$24:$A$67,0),MATCH(AB$20,$B$20:$G$20,0))&lt;$D$6/OPDAYS_Cls1),86,payback(F26,W26,disc_rate/12,85))</f>
        <v>86</v>
      </c>
      <c r="AC26" s="167">
        <f ca="1">IF(AND(AC$22=TRUE,INDEX(CDRANGE_CLS1,MATCH($A26,$A$24:$A$67,0),MATCH(AC$20,$B$20:$G$20,0))&lt;$D$6/OPDAYS_Cls1),86,payback(G26,X26,disc_rate/12,85))</f>
        <v>86</v>
      </c>
      <c r="AD26" s="168">
        <f t="shared" si="35"/>
        <v>0</v>
      </c>
      <c r="AE26" s="169">
        <f t="shared" si="36"/>
        <v>0</v>
      </c>
      <c r="AF26" s="169">
        <f t="shared" si="37"/>
        <v>0</v>
      </c>
      <c r="AG26" s="169">
        <f t="shared" si="38"/>
        <v>0</v>
      </c>
      <c r="AH26" s="444">
        <f t="shared" si="39"/>
        <v>0</v>
      </c>
      <c r="AI26" s="986">
        <f t="shared" si="40"/>
        <v>0</v>
      </c>
      <c r="AJ26" s="987">
        <f t="shared" si="41"/>
        <v>0</v>
      </c>
      <c r="AK26" s="987">
        <f t="shared" si="42"/>
        <v>0</v>
      </c>
      <c r="AL26" s="987">
        <f t="shared" si="43"/>
        <v>0</v>
      </c>
      <c r="AM26" s="988">
        <f t="shared" si="44"/>
        <v>0</v>
      </c>
      <c r="AN26" s="171">
        <f t="shared" si="66"/>
        <v>0</v>
      </c>
      <c r="AO26" s="172">
        <f t="shared" si="67"/>
        <v>0</v>
      </c>
      <c r="AP26" s="172">
        <f t="shared" si="68"/>
        <v>0</v>
      </c>
      <c r="AQ26" s="172">
        <f t="shared" si="69"/>
        <v>0</v>
      </c>
      <c r="AR26" s="173">
        <f t="shared" si="70"/>
        <v>0</v>
      </c>
      <c r="AS26" s="168">
        <f t="shared" ca="1" si="46"/>
        <v>0</v>
      </c>
      <c r="AT26" s="169">
        <f t="shared" ca="1" si="47"/>
        <v>0</v>
      </c>
      <c r="AU26" s="169">
        <f t="shared" si="48"/>
        <v>0</v>
      </c>
      <c r="AV26" s="169">
        <f t="shared" ca="1" si="49"/>
        <v>0</v>
      </c>
      <c r="AW26" s="170">
        <f t="shared" ca="1" si="50"/>
        <v>0</v>
      </c>
      <c r="AX26" s="604">
        <f t="shared" ca="1" si="51"/>
        <v>0</v>
      </c>
      <c r="AY26" s="169">
        <f t="shared" ca="1" si="52"/>
        <v>0</v>
      </c>
      <c r="AZ26" s="169">
        <f t="shared" si="53"/>
        <v>0</v>
      </c>
      <c r="BA26" s="169">
        <f t="shared" ca="1" si="71"/>
        <v>0</v>
      </c>
      <c r="BB26" s="444">
        <f t="shared" ca="1" si="72"/>
        <v>0</v>
      </c>
      <c r="BC26" s="168">
        <f t="shared" ca="1" si="73"/>
        <v>1</v>
      </c>
      <c r="BD26" s="169">
        <f t="shared" ca="1" si="56"/>
        <v>0</v>
      </c>
      <c r="BE26" s="169">
        <f t="shared" ca="1" si="57"/>
        <v>0</v>
      </c>
      <c r="BF26" s="169">
        <f t="shared" ca="1" si="58"/>
        <v>0</v>
      </c>
      <c r="BG26" s="169">
        <f t="shared" ca="1" si="59"/>
        <v>0</v>
      </c>
      <c r="BH26" s="170">
        <f t="shared" ca="1" si="60"/>
        <v>0</v>
      </c>
    </row>
    <row r="27" spans="1:60" ht="13.5" thickBot="1" x14ac:dyDescent="0.25">
      <c r="A27" s="465">
        <v>2010</v>
      </c>
      <c r="B27" s="661">
        <f t="shared" si="26"/>
        <v>151412</v>
      </c>
      <c r="C27" s="662">
        <f t="shared" si="26"/>
        <v>1000000</v>
      </c>
      <c r="D27" s="662">
        <f t="shared" si="26"/>
        <v>1000000</v>
      </c>
      <c r="E27" s="662">
        <f t="shared" si="26"/>
        <v>1000000</v>
      </c>
      <c r="F27" s="662">
        <f t="shared" si="26"/>
        <v>1000000</v>
      </c>
      <c r="G27" s="663">
        <f t="shared" si="26"/>
        <v>1000000</v>
      </c>
      <c r="H27" s="628">
        <f t="shared" si="27"/>
        <v>1</v>
      </c>
      <c r="I27" s="629">
        <f t="shared" si="27"/>
        <v>1</v>
      </c>
      <c r="J27" s="629">
        <f t="shared" si="27"/>
        <v>1</v>
      </c>
      <c r="K27" s="629">
        <f t="shared" si="27"/>
        <v>1</v>
      </c>
      <c r="L27" s="629">
        <f t="shared" si="27"/>
        <v>1</v>
      </c>
      <c r="M27" s="630">
        <f t="shared" si="27"/>
        <v>1</v>
      </c>
      <c r="N27" s="622">
        <f t="shared" si="28"/>
        <v>8428.4770999193952</v>
      </c>
      <c r="O27" s="623">
        <f t="shared" si="29"/>
        <v>47646.016403140064</v>
      </c>
      <c r="P27" s="623">
        <f t="shared" si="30"/>
        <v>47646.016403140064</v>
      </c>
      <c r="Q27" s="623">
        <f t="shared" si="31"/>
        <v>232008.73318143192</v>
      </c>
      <c r="R27" s="623">
        <f t="shared" si="32"/>
        <v>231554.58773875586</v>
      </c>
      <c r="S27" s="624">
        <f t="shared" si="33"/>
        <v>47646.016403140064</v>
      </c>
      <c r="T27" s="175">
        <f t="shared" si="61"/>
        <v>-39217.53930322067</v>
      </c>
      <c r="U27" s="176">
        <f t="shared" si="62"/>
        <v>-39217.53930322067</v>
      </c>
      <c r="V27" s="176">
        <f t="shared" si="63"/>
        <v>-223580.25608151252</v>
      </c>
      <c r="W27" s="176">
        <f t="shared" si="64"/>
        <v>-223126.11063883646</v>
      </c>
      <c r="X27" s="178">
        <f t="shared" si="65"/>
        <v>-39217.53930322067</v>
      </c>
      <c r="Y27" s="179">
        <f ca="1">IF(AND(Y$22=TRUE,INDEX(CDRANGE_CLS1,MATCH($A27,$A$24:$A$67,0),MATCH(Y$20,$B$20:$G$20,0))&lt;$D$6/OPDAYS_Cls1),86,payback(C27,T27,disc_rate/12,85))</f>
        <v>86</v>
      </c>
      <c r="Z27" s="180">
        <f ca="1">IF(AND(Z$22=TRUE,INDEX(CDRANGE_CLS1,MATCH($A27,$A$24:$A$67,0),MATCH(Z$20,$B$20:$G$20,0))&lt;$D$6/OPDAYS_Cls1),86,payback(D27,U27,disc_rate/12,85))</f>
        <v>86</v>
      </c>
      <c r="AA27" s="180">
        <f>IF(AND(AA$22=TRUE,INDEX(CDRANGE_CLS1,MATCH($A27,$A$24:$A$67,0),MATCH(AA$20,$B$20:$G$20,0))&lt;$D$6/OPDAYS_Cls1),86,payback(E27,V27,disc_rate/12,85))</f>
        <v>86</v>
      </c>
      <c r="AB27" s="180">
        <f ca="1">IF(AND(AB$22=TRUE,INDEX(CDRANGE_CLS1,MATCH($A27,$A$24:$A$67,0),MATCH(AB$20,$B$20:$G$20,0))&lt;$D$6/OPDAYS_Cls1),86,payback(F27,W27,disc_rate/12,85))</f>
        <v>86</v>
      </c>
      <c r="AC27" s="181">
        <f ca="1">IF(AND(AC$22=TRUE,INDEX(CDRANGE_CLS1,MATCH($A27,$A$24:$A$67,0),MATCH(AC$20,$B$20:$G$20,0))&lt;$D$6/OPDAYS_Cls1),86,payback(G27,X27,disc_rate/12,85))</f>
        <v>86</v>
      </c>
      <c r="AD27" s="182">
        <f t="shared" si="35"/>
        <v>0</v>
      </c>
      <c r="AE27" s="183">
        <f t="shared" si="36"/>
        <v>0</v>
      </c>
      <c r="AF27" s="183">
        <f t="shared" si="37"/>
        <v>0</v>
      </c>
      <c r="AG27" s="183">
        <f t="shared" si="38"/>
        <v>0</v>
      </c>
      <c r="AH27" s="606">
        <f t="shared" si="39"/>
        <v>0</v>
      </c>
      <c r="AI27" s="989">
        <f t="shared" si="40"/>
        <v>0</v>
      </c>
      <c r="AJ27" s="990">
        <f t="shared" si="41"/>
        <v>0</v>
      </c>
      <c r="AK27" s="990">
        <f t="shared" si="42"/>
        <v>0</v>
      </c>
      <c r="AL27" s="990">
        <f t="shared" si="43"/>
        <v>0</v>
      </c>
      <c r="AM27" s="991">
        <f t="shared" si="44"/>
        <v>0</v>
      </c>
      <c r="AN27" s="185">
        <f t="shared" si="66"/>
        <v>0</v>
      </c>
      <c r="AO27" s="186">
        <f t="shared" si="67"/>
        <v>0</v>
      </c>
      <c r="AP27" s="186">
        <f t="shared" si="68"/>
        <v>0</v>
      </c>
      <c r="AQ27" s="186">
        <f t="shared" si="69"/>
        <v>0</v>
      </c>
      <c r="AR27" s="187">
        <f t="shared" si="70"/>
        <v>0</v>
      </c>
      <c r="AS27" s="182">
        <f t="shared" ca="1" si="46"/>
        <v>0</v>
      </c>
      <c r="AT27" s="183">
        <f t="shared" ca="1" si="47"/>
        <v>0</v>
      </c>
      <c r="AU27" s="183">
        <f t="shared" si="48"/>
        <v>0</v>
      </c>
      <c r="AV27" s="183">
        <f t="shared" ca="1" si="49"/>
        <v>0</v>
      </c>
      <c r="AW27" s="184">
        <f t="shared" ca="1" si="50"/>
        <v>0</v>
      </c>
      <c r="AX27" s="605">
        <f t="shared" ca="1" si="51"/>
        <v>0</v>
      </c>
      <c r="AY27" s="472">
        <f t="shared" ca="1" si="52"/>
        <v>0</v>
      </c>
      <c r="AZ27" s="472">
        <f t="shared" si="53"/>
        <v>0</v>
      </c>
      <c r="BA27" s="472">
        <f t="shared" ca="1" si="71"/>
        <v>0</v>
      </c>
      <c r="BB27" s="492">
        <f t="shared" ca="1" si="72"/>
        <v>0</v>
      </c>
      <c r="BC27" s="182">
        <f t="shared" ca="1" si="73"/>
        <v>1</v>
      </c>
      <c r="BD27" s="183">
        <f t="shared" ca="1" si="56"/>
        <v>0</v>
      </c>
      <c r="BE27" s="183">
        <f t="shared" ca="1" si="57"/>
        <v>0</v>
      </c>
      <c r="BF27" s="183">
        <f t="shared" ca="1" si="58"/>
        <v>0</v>
      </c>
      <c r="BG27" s="183">
        <f t="shared" ca="1" si="59"/>
        <v>0</v>
      </c>
      <c r="BH27" s="184">
        <f t="shared" ca="1" si="60"/>
        <v>0</v>
      </c>
    </row>
    <row r="28" spans="1:60" x14ac:dyDescent="0.2">
      <c r="A28" s="190">
        <v>2011</v>
      </c>
      <c r="B28" s="664">
        <f t="shared" si="26"/>
        <v>151412</v>
      </c>
      <c r="C28" s="665">
        <f t="shared" si="26"/>
        <v>1000000</v>
      </c>
      <c r="D28" s="665">
        <f t="shared" si="26"/>
        <v>1000000</v>
      </c>
      <c r="E28" s="665">
        <f t="shared" si="26"/>
        <v>1000000</v>
      </c>
      <c r="F28" s="665">
        <f t="shared" si="26"/>
        <v>1000000</v>
      </c>
      <c r="G28" s="666">
        <f t="shared" si="26"/>
        <v>1000000</v>
      </c>
      <c r="H28" s="628">
        <f t="shared" si="27"/>
        <v>1</v>
      </c>
      <c r="I28" s="629">
        <f t="shared" si="27"/>
        <v>1</v>
      </c>
      <c r="J28" s="629">
        <f t="shared" si="27"/>
        <v>1</v>
      </c>
      <c r="K28" s="629">
        <f t="shared" si="27"/>
        <v>1</v>
      </c>
      <c r="L28" s="629">
        <f t="shared" si="27"/>
        <v>1</v>
      </c>
      <c r="M28" s="630">
        <f t="shared" si="27"/>
        <v>1</v>
      </c>
      <c r="N28" s="478">
        <f t="shared" si="28"/>
        <v>10932.093343098884</v>
      </c>
      <c r="O28" s="479">
        <f t="shared" si="29"/>
        <v>63075.865131559083</v>
      </c>
      <c r="P28" s="479">
        <f t="shared" si="30"/>
        <v>63075.865131559083</v>
      </c>
      <c r="Q28" s="479">
        <f t="shared" si="31"/>
        <v>183282.49267603748</v>
      </c>
      <c r="R28" s="479">
        <f t="shared" si="32"/>
        <v>231554.58773875586</v>
      </c>
      <c r="S28" s="592">
        <f t="shared" si="33"/>
        <v>63075.865131559083</v>
      </c>
      <c r="T28" s="583">
        <f t="shared" si="61"/>
        <v>-52143.771788460203</v>
      </c>
      <c r="U28" s="479">
        <f t="shared" si="62"/>
        <v>-52143.771788460203</v>
      </c>
      <c r="V28" s="479">
        <f t="shared" si="63"/>
        <v>-172350.3993329386</v>
      </c>
      <c r="W28" s="479">
        <f t="shared" si="64"/>
        <v>-220622.49439565698</v>
      </c>
      <c r="X28" s="480">
        <f t="shared" si="65"/>
        <v>-52143.771788460203</v>
      </c>
      <c r="Y28" s="481">
        <f ca="1">IF(AND(Y$22=TRUE,INDEX(CDRANGE_CLS1,MATCH($A28,$A$24:$A$67,0),MATCH(Y$20,$B$20:$G$20,0))&lt;$D$6/OPDAYS_Cls1),86,payback(C28,T28,disc_rate/12,85))</f>
        <v>86</v>
      </c>
      <c r="Z28" s="482">
        <f ca="1">IF(AND(Z$22=TRUE,INDEX(CDRANGE_CLS1,MATCH($A28,$A$24:$A$67,0),MATCH(Z$20,$B$20:$G$20,0))&lt;$D$6/OPDAYS_Cls1),86,payback(D28,U28,disc_rate/12,85))</f>
        <v>86</v>
      </c>
      <c r="AA28" s="482">
        <f>IF(AND(AA$22=TRUE,INDEX(CDRANGE_CLS1,MATCH($A28,$A$24:$A$67,0),MATCH(AA$20,$B$20:$G$20,0))&lt;$D$6/OPDAYS_Cls1),86,payback(E28,V28,disc_rate/12,85))</f>
        <v>86</v>
      </c>
      <c r="AB28" s="482">
        <f ca="1">IF(AND(AB$22=TRUE,INDEX(CDRANGE_CLS1,MATCH($A28,$A$24:$A$67,0),MATCH(AB$20,$B$20:$G$20,0))&lt;$D$6/OPDAYS_Cls1),86,payback(F28,W28,disc_rate/12,85))</f>
        <v>86</v>
      </c>
      <c r="AC28" s="483">
        <f ca="1">IF(AND(AC$22=TRUE,INDEX(CDRANGE_CLS1,MATCH($A28,$A$24:$A$67,0),MATCH(AC$20,$B$20:$G$20,0))&lt;$D$6/OPDAYS_Cls1),86,payback(G28,X28,disc_rate/12,85))</f>
        <v>86</v>
      </c>
      <c r="AD28" s="484">
        <f t="shared" si="35"/>
        <v>0</v>
      </c>
      <c r="AE28" s="485">
        <f t="shared" si="36"/>
        <v>0</v>
      </c>
      <c r="AF28" s="485">
        <f t="shared" si="37"/>
        <v>0</v>
      </c>
      <c r="AG28" s="485">
        <f t="shared" si="38"/>
        <v>0</v>
      </c>
      <c r="AH28" s="486">
        <f t="shared" si="39"/>
        <v>0</v>
      </c>
      <c r="AI28" s="992">
        <f t="shared" si="40"/>
        <v>0</v>
      </c>
      <c r="AJ28" s="993">
        <f t="shared" si="41"/>
        <v>0</v>
      </c>
      <c r="AK28" s="993">
        <f t="shared" si="42"/>
        <v>0</v>
      </c>
      <c r="AL28" s="993">
        <f t="shared" si="43"/>
        <v>0</v>
      </c>
      <c r="AM28" s="994">
        <f t="shared" si="44"/>
        <v>0</v>
      </c>
      <c r="AN28" s="490">
        <f t="shared" si="66"/>
        <v>0</v>
      </c>
      <c r="AO28" s="488">
        <f t="shared" si="67"/>
        <v>0</v>
      </c>
      <c r="AP28" s="488">
        <f t="shared" si="68"/>
        <v>0</v>
      </c>
      <c r="AQ28" s="488">
        <f t="shared" si="69"/>
        <v>0</v>
      </c>
      <c r="AR28" s="489">
        <f t="shared" si="70"/>
        <v>0</v>
      </c>
      <c r="AS28" s="484">
        <f t="shared" ca="1" si="46"/>
        <v>0</v>
      </c>
      <c r="AT28" s="485">
        <f t="shared" ca="1" si="47"/>
        <v>0</v>
      </c>
      <c r="AU28" s="485">
        <f t="shared" si="48"/>
        <v>0</v>
      </c>
      <c r="AV28" s="485">
        <f t="shared" ca="1" si="49"/>
        <v>0</v>
      </c>
      <c r="AW28" s="486">
        <f t="shared" ca="1" si="50"/>
        <v>0</v>
      </c>
      <c r="AX28" s="484">
        <f t="shared" ca="1" si="51"/>
        <v>0</v>
      </c>
      <c r="AY28" s="485">
        <f t="shared" ca="1" si="52"/>
        <v>0</v>
      </c>
      <c r="AZ28" s="485">
        <f t="shared" si="53"/>
        <v>0</v>
      </c>
      <c r="BA28" s="485">
        <f t="shared" ca="1" si="71"/>
        <v>0</v>
      </c>
      <c r="BB28" s="486">
        <f t="shared" ca="1" si="72"/>
        <v>0</v>
      </c>
      <c r="BC28" s="484">
        <f t="shared" ca="1" si="73"/>
        <v>1</v>
      </c>
      <c r="BD28" s="485">
        <f t="shared" ca="1" si="56"/>
        <v>0</v>
      </c>
      <c r="BE28" s="485">
        <f t="shared" ca="1" si="57"/>
        <v>0</v>
      </c>
      <c r="BF28" s="485">
        <f t="shared" ca="1" si="58"/>
        <v>0</v>
      </c>
      <c r="BG28" s="485">
        <f t="shared" ca="1" si="59"/>
        <v>0</v>
      </c>
      <c r="BH28" s="486">
        <f t="shared" ca="1" si="60"/>
        <v>0</v>
      </c>
    </row>
    <row r="29" spans="1:60" x14ac:dyDescent="0.2">
      <c r="A29" s="189">
        <v>2012</v>
      </c>
      <c r="B29" s="667">
        <f t="shared" si="26"/>
        <v>151412</v>
      </c>
      <c r="C29" s="668">
        <f t="shared" si="26"/>
        <v>1000000</v>
      </c>
      <c r="D29" s="668">
        <f t="shared" si="26"/>
        <v>1000000</v>
      </c>
      <c r="E29" s="668">
        <f t="shared" si="26"/>
        <v>1000000</v>
      </c>
      <c r="F29" s="668">
        <f t="shared" si="26"/>
        <v>1000000</v>
      </c>
      <c r="G29" s="669">
        <f t="shared" si="26"/>
        <v>1000000</v>
      </c>
      <c r="H29" s="628">
        <f t="shared" si="27"/>
        <v>1</v>
      </c>
      <c r="I29" s="629">
        <f t="shared" si="27"/>
        <v>1</v>
      </c>
      <c r="J29" s="629">
        <f t="shared" si="27"/>
        <v>1</v>
      </c>
      <c r="K29" s="629">
        <f t="shared" si="27"/>
        <v>1</v>
      </c>
      <c r="L29" s="629">
        <f t="shared" si="27"/>
        <v>1</v>
      </c>
      <c r="M29" s="630">
        <f t="shared" si="27"/>
        <v>1</v>
      </c>
      <c r="N29" s="147">
        <f t="shared" si="28"/>
        <v>11439.442673908667</v>
      </c>
      <c r="O29" s="148">
        <f t="shared" si="29"/>
        <v>66527.610335728168</v>
      </c>
      <c r="P29" s="148">
        <f t="shared" si="30"/>
        <v>66527.610335728168</v>
      </c>
      <c r="Q29" s="148">
        <f t="shared" si="31"/>
        <v>156662.1556367279</v>
      </c>
      <c r="R29" s="148">
        <f t="shared" si="32"/>
        <v>231554.58773875586</v>
      </c>
      <c r="S29" s="150">
        <f t="shared" si="33"/>
        <v>66527.610335728168</v>
      </c>
      <c r="T29" s="581">
        <f t="shared" si="61"/>
        <v>-55088.167661819505</v>
      </c>
      <c r="U29" s="162">
        <f t="shared" si="62"/>
        <v>-55088.167661819505</v>
      </c>
      <c r="V29" s="162">
        <f t="shared" si="63"/>
        <v>-145222.71296281923</v>
      </c>
      <c r="W29" s="162">
        <f t="shared" si="64"/>
        <v>-220115.14506484719</v>
      </c>
      <c r="X29" s="163">
        <f t="shared" si="65"/>
        <v>-55088.167661819505</v>
      </c>
      <c r="Y29" s="165">
        <f ca="1">IF(AND(Y$22=TRUE,INDEX(CDRANGE_CLS1,MATCH($A29,$A$24:$A$67,0),MATCH(Y$20,$B$20:$G$20,0))&lt;$D$6/OPDAYS_Cls1),86,payback(C29,T29,disc_rate/12,85))</f>
        <v>86</v>
      </c>
      <c r="Z29" s="166">
        <f ca="1">IF(AND(Z$22=TRUE,INDEX(CDRANGE_CLS1,MATCH($A29,$A$24:$A$67,0),MATCH(Z$20,$B$20:$G$20,0))&lt;$D$6/OPDAYS_Cls1),86,payback(D29,U29,disc_rate/12,85))</f>
        <v>86</v>
      </c>
      <c r="AA29" s="166">
        <f>IF(AND(AA$22=TRUE,INDEX(CDRANGE_CLS1,MATCH($A29,$A$24:$A$67,0),MATCH(AA$20,$B$20:$G$20,0))&lt;$D$6/OPDAYS_Cls1),86,payback(E29,V29,disc_rate/12,85))</f>
        <v>86</v>
      </c>
      <c r="AB29" s="166">
        <f ca="1">IF(AND(AB$22=TRUE,INDEX(CDRANGE_CLS1,MATCH($A29,$A$24:$A$67,0),MATCH(AB$20,$B$20:$G$20,0))&lt;$D$6/OPDAYS_Cls1),86,payback(F29,W29,disc_rate/12,85))</f>
        <v>86</v>
      </c>
      <c r="AC29" s="439">
        <f ca="1">IF(AND(AC$22=TRUE,INDEX(CDRANGE_CLS1,MATCH($A29,$A$24:$A$67,0),MATCH(AC$20,$B$20:$G$20,0))&lt;$D$6/OPDAYS_Cls1),86,payback(G29,X29,disc_rate/12,85))</f>
        <v>86</v>
      </c>
      <c r="AD29" s="168">
        <f t="shared" si="35"/>
        <v>0</v>
      </c>
      <c r="AE29" s="169">
        <f t="shared" si="36"/>
        <v>0</v>
      </c>
      <c r="AF29" s="169">
        <f t="shared" si="37"/>
        <v>0</v>
      </c>
      <c r="AG29" s="169">
        <f t="shared" si="38"/>
        <v>0</v>
      </c>
      <c r="AH29" s="170">
        <f t="shared" si="39"/>
        <v>0</v>
      </c>
      <c r="AI29" s="986">
        <f t="shared" si="40"/>
        <v>0</v>
      </c>
      <c r="AJ29" s="987">
        <f t="shared" si="41"/>
        <v>0</v>
      </c>
      <c r="AK29" s="987">
        <f t="shared" si="42"/>
        <v>0</v>
      </c>
      <c r="AL29" s="987">
        <f t="shared" si="43"/>
        <v>0</v>
      </c>
      <c r="AM29" s="995">
        <f t="shared" si="44"/>
        <v>0</v>
      </c>
      <c r="AN29" s="171">
        <f t="shared" si="66"/>
        <v>0</v>
      </c>
      <c r="AO29" s="172">
        <f t="shared" si="67"/>
        <v>0</v>
      </c>
      <c r="AP29" s="172">
        <f t="shared" si="68"/>
        <v>0</v>
      </c>
      <c r="AQ29" s="172">
        <f t="shared" si="69"/>
        <v>0</v>
      </c>
      <c r="AR29" s="445">
        <f t="shared" si="70"/>
        <v>0</v>
      </c>
      <c r="AS29" s="168">
        <f t="shared" ca="1" si="46"/>
        <v>0</v>
      </c>
      <c r="AT29" s="169">
        <f t="shared" ca="1" si="47"/>
        <v>0</v>
      </c>
      <c r="AU29" s="169">
        <f t="shared" si="48"/>
        <v>0</v>
      </c>
      <c r="AV29" s="169">
        <f t="shared" ca="1" si="49"/>
        <v>0</v>
      </c>
      <c r="AW29" s="170">
        <f t="shared" ca="1" si="50"/>
        <v>0</v>
      </c>
      <c r="AX29" s="168">
        <f t="shared" ca="1" si="51"/>
        <v>0</v>
      </c>
      <c r="AY29" s="169">
        <f t="shared" ca="1" si="52"/>
        <v>0</v>
      </c>
      <c r="AZ29" s="169">
        <f t="shared" si="53"/>
        <v>0</v>
      </c>
      <c r="BA29" s="169">
        <f t="shared" ca="1" si="71"/>
        <v>0</v>
      </c>
      <c r="BB29" s="170">
        <f t="shared" ca="1" si="72"/>
        <v>0</v>
      </c>
      <c r="BC29" s="168">
        <f t="shared" ca="1" si="73"/>
        <v>1</v>
      </c>
      <c r="BD29" s="169">
        <f t="shared" ca="1" si="56"/>
        <v>0</v>
      </c>
      <c r="BE29" s="169">
        <f t="shared" ca="1" si="57"/>
        <v>0</v>
      </c>
      <c r="BF29" s="169">
        <f t="shared" ca="1" si="58"/>
        <v>0</v>
      </c>
      <c r="BG29" s="169">
        <f t="shared" ca="1" si="59"/>
        <v>0</v>
      </c>
      <c r="BH29" s="170">
        <f t="shared" ca="1" si="60"/>
        <v>0</v>
      </c>
    </row>
    <row r="30" spans="1:60" x14ac:dyDescent="0.2">
      <c r="A30" s="189">
        <v>2013</v>
      </c>
      <c r="B30" s="667">
        <f t="shared" si="26"/>
        <v>151412</v>
      </c>
      <c r="C30" s="668">
        <f t="shared" si="26"/>
        <v>1000000</v>
      </c>
      <c r="D30" s="668">
        <f t="shared" si="26"/>
        <v>1000000</v>
      </c>
      <c r="E30" s="668">
        <f t="shared" si="26"/>
        <v>1000000</v>
      </c>
      <c r="F30" s="668">
        <f t="shared" si="26"/>
        <v>1000000</v>
      </c>
      <c r="G30" s="669">
        <f t="shared" si="26"/>
        <v>1000000</v>
      </c>
      <c r="H30" s="628">
        <f t="shared" si="27"/>
        <v>1</v>
      </c>
      <c r="I30" s="629">
        <f t="shared" si="27"/>
        <v>1</v>
      </c>
      <c r="J30" s="629">
        <f t="shared" si="27"/>
        <v>1</v>
      </c>
      <c r="K30" s="629">
        <f t="shared" si="27"/>
        <v>1</v>
      </c>
      <c r="L30" s="629">
        <f t="shared" si="27"/>
        <v>1</v>
      </c>
      <c r="M30" s="630">
        <f t="shared" si="27"/>
        <v>1</v>
      </c>
      <c r="N30" s="147">
        <f t="shared" si="28"/>
        <v>11262.323737910812</v>
      </c>
      <c r="O30" s="148">
        <f t="shared" si="29"/>
        <v>66723.214973263486</v>
      </c>
      <c r="P30" s="148">
        <f t="shared" si="30"/>
        <v>66723.214973263486</v>
      </c>
      <c r="Q30" s="148">
        <f t="shared" si="31"/>
        <v>160583.97020281761</v>
      </c>
      <c r="R30" s="148">
        <f t="shared" si="32"/>
        <v>231554.58773875586</v>
      </c>
      <c r="S30" s="150">
        <f t="shared" si="33"/>
        <v>66723.214973263486</v>
      </c>
      <c r="T30" s="581">
        <f t="shared" si="61"/>
        <v>-55460.891235352676</v>
      </c>
      <c r="U30" s="162">
        <f t="shared" si="62"/>
        <v>-55460.891235352676</v>
      </c>
      <c r="V30" s="162">
        <f t="shared" si="63"/>
        <v>-149321.64646490681</v>
      </c>
      <c r="W30" s="162">
        <f t="shared" si="64"/>
        <v>-220292.26400084505</v>
      </c>
      <c r="X30" s="163">
        <f t="shared" si="65"/>
        <v>-55460.891235352676</v>
      </c>
      <c r="Y30" s="165">
        <f ca="1">IF(AND(Y$22=TRUE,INDEX(CDRANGE_CLS1,MATCH($A30,$A$24:$A$67,0),MATCH(Y$20,$B$20:$G$20,0))&lt;$D$6/OPDAYS_Cls1),86,payback(C30,T30,disc_rate/12,85))</f>
        <v>86</v>
      </c>
      <c r="Z30" s="166">
        <f ca="1">IF(AND(Z$22=TRUE,INDEX(CDRANGE_CLS1,MATCH($A30,$A$24:$A$67,0),MATCH(Z$20,$B$20:$G$20,0))&lt;$D$6/OPDAYS_Cls1),86,payback(D30,U30,disc_rate/12,85))</f>
        <v>86</v>
      </c>
      <c r="AA30" s="166">
        <f>IF(AND(AA$22=TRUE,INDEX(CDRANGE_CLS1,MATCH($A30,$A$24:$A$67,0),MATCH(AA$20,$B$20:$G$20,0))&lt;$D$6/OPDAYS_Cls1),86,payback(E30,V30,disc_rate/12,85))</f>
        <v>86</v>
      </c>
      <c r="AB30" s="166">
        <f ca="1">IF(AND(AB$22=TRUE,INDEX(CDRANGE_CLS1,MATCH($A30,$A$24:$A$67,0),MATCH(AB$20,$B$20:$G$20,0))&lt;$D$6/OPDAYS_Cls1),86,payback(F30,W30,disc_rate/12,85))</f>
        <v>86</v>
      </c>
      <c r="AC30" s="439">
        <f ca="1">IF(AND(AC$22=TRUE,INDEX(CDRANGE_CLS1,MATCH($A30,$A$24:$A$67,0),MATCH(AC$20,$B$20:$G$20,0))&lt;$D$6/OPDAYS_Cls1),86,payback(G30,X30,disc_rate/12,85))</f>
        <v>86</v>
      </c>
      <c r="AD30" s="168">
        <f t="shared" si="35"/>
        <v>0</v>
      </c>
      <c r="AE30" s="169">
        <f t="shared" si="36"/>
        <v>0</v>
      </c>
      <c r="AF30" s="169">
        <f t="shared" si="37"/>
        <v>0</v>
      </c>
      <c r="AG30" s="169">
        <f t="shared" si="38"/>
        <v>0</v>
      </c>
      <c r="AH30" s="170">
        <f t="shared" si="39"/>
        <v>0</v>
      </c>
      <c r="AI30" s="986">
        <f t="shared" si="40"/>
        <v>0</v>
      </c>
      <c r="AJ30" s="987">
        <f t="shared" si="41"/>
        <v>0</v>
      </c>
      <c r="AK30" s="987">
        <f t="shared" si="42"/>
        <v>0</v>
      </c>
      <c r="AL30" s="987">
        <f t="shared" si="43"/>
        <v>0</v>
      </c>
      <c r="AM30" s="995">
        <f t="shared" si="44"/>
        <v>0</v>
      </c>
      <c r="AN30" s="171">
        <f t="shared" si="66"/>
        <v>0</v>
      </c>
      <c r="AO30" s="172">
        <f t="shared" si="67"/>
        <v>0</v>
      </c>
      <c r="AP30" s="172">
        <f t="shared" si="68"/>
        <v>0</v>
      </c>
      <c r="AQ30" s="172">
        <f t="shared" si="69"/>
        <v>0</v>
      </c>
      <c r="AR30" s="445">
        <f t="shared" si="70"/>
        <v>0</v>
      </c>
      <c r="AS30" s="168">
        <f t="shared" ca="1" si="46"/>
        <v>0</v>
      </c>
      <c r="AT30" s="169">
        <f t="shared" ca="1" si="47"/>
        <v>0</v>
      </c>
      <c r="AU30" s="169">
        <f t="shared" si="48"/>
        <v>0</v>
      </c>
      <c r="AV30" s="169">
        <f t="shared" ca="1" si="49"/>
        <v>0</v>
      </c>
      <c r="AW30" s="170">
        <f t="shared" ca="1" si="50"/>
        <v>0</v>
      </c>
      <c r="AX30" s="168">
        <f t="shared" ca="1" si="51"/>
        <v>0</v>
      </c>
      <c r="AY30" s="169">
        <f t="shared" ca="1" si="52"/>
        <v>0</v>
      </c>
      <c r="AZ30" s="169">
        <f t="shared" si="53"/>
        <v>0</v>
      </c>
      <c r="BA30" s="169">
        <f t="shared" ca="1" si="71"/>
        <v>0</v>
      </c>
      <c r="BB30" s="170">
        <f t="shared" ca="1" si="72"/>
        <v>0</v>
      </c>
      <c r="BC30" s="168">
        <f t="shared" ca="1" si="73"/>
        <v>1</v>
      </c>
      <c r="BD30" s="169">
        <f t="shared" ca="1" si="56"/>
        <v>0</v>
      </c>
      <c r="BE30" s="169">
        <f t="shared" ca="1" si="57"/>
        <v>0</v>
      </c>
      <c r="BF30" s="169">
        <f t="shared" ca="1" si="58"/>
        <v>0</v>
      </c>
      <c r="BG30" s="169">
        <f t="shared" ca="1" si="59"/>
        <v>0</v>
      </c>
      <c r="BH30" s="170">
        <f t="shared" ca="1" si="60"/>
        <v>0</v>
      </c>
    </row>
    <row r="31" spans="1:60" x14ac:dyDescent="0.2">
      <c r="A31" s="189">
        <v>2014</v>
      </c>
      <c r="B31" s="667">
        <f t="shared" si="26"/>
        <v>151412</v>
      </c>
      <c r="C31" s="668">
        <f t="shared" si="26"/>
        <v>1000000</v>
      </c>
      <c r="D31" s="668">
        <f t="shared" si="26"/>
        <v>1000000</v>
      </c>
      <c r="E31" s="668">
        <f t="shared" si="26"/>
        <v>1000000</v>
      </c>
      <c r="F31" s="668">
        <f t="shared" si="26"/>
        <v>1000000</v>
      </c>
      <c r="G31" s="669">
        <f t="shared" si="26"/>
        <v>1000000</v>
      </c>
      <c r="H31" s="628">
        <f t="shared" si="27"/>
        <v>1</v>
      </c>
      <c r="I31" s="629">
        <f t="shared" si="27"/>
        <v>1</v>
      </c>
      <c r="J31" s="629">
        <f t="shared" si="27"/>
        <v>1</v>
      </c>
      <c r="K31" s="629">
        <f t="shared" si="27"/>
        <v>1</v>
      </c>
      <c r="L31" s="629">
        <f t="shared" si="27"/>
        <v>1</v>
      </c>
      <c r="M31" s="630">
        <f t="shared" si="27"/>
        <v>1</v>
      </c>
      <c r="N31" s="147">
        <f t="shared" si="28"/>
        <v>10914.556994563642</v>
      </c>
      <c r="O31" s="148">
        <f t="shared" si="29"/>
        <v>66124.310363758137</v>
      </c>
      <c r="P31" s="148">
        <f t="shared" si="30"/>
        <v>66124.310363758137</v>
      </c>
      <c r="Q31" s="148">
        <f t="shared" si="31"/>
        <v>166669.44362627002</v>
      </c>
      <c r="R31" s="148">
        <f t="shared" si="32"/>
        <v>231554.58773875586</v>
      </c>
      <c r="S31" s="150">
        <f t="shared" si="33"/>
        <v>66124.310363758137</v>
      </c>
      <c r="T31" s="581">
        <f t="shared" si="61"/>
        <v>-55209.753369194499</v>
      </c>
      <c r="U31" s="162">
        <f t="shared" si="62"/>
        <v>-55209.753369194499</v>
      </c>
      <c r="V31" s="162">
        <f t="shared" si="63"/>
        <v>-155754.88663170638</v>
      </c>
      <c r="W31" s="162">
        <f t="shared" si="64"/>
        <v>-220640.03074419222</v>
      </c>
      <c r="X31" s="163">
        <f t="shared" si="65"/>
        <v>-55209.753369194499</v>
      </c>
      <c r="Y31" s="165">
        <f ca="1">IF(AND(Y$22=TRUE,INDEX(CDRANGE_CLS1,MATCH($A31,$A$24:$A$67,0),MATCH(Y$20,$B$20:$G$20,0))&lt;$D$6/OPDAYS_Cls1),86,payback(C31,T31,disc_rate/12,85))</f>
        <v>86</v>
      </c>
      <c r="Z31" s="166">
        <f ca="1">IF(AND(Z$22=TRUE,INDEX(CDRANGE_CLS1,MATCH($A31,$A$24:$A$67,0),MATCH(Z$20,$B$20:$G$20,0))&lt;$D$6/OPDAYS_Cls1),86,payback(D31,U31,disc_rate/12,85))</f>
        <v>86</v>
      </c>
      <c r="AA31" s="166">
        <f>IF(AND(AA$22=TRUE,INDEX(CDRANGE_CLS1,MATCH($A31,$A$24:$A$67,0),MATCH(AA$20,$B$20:$G$20,0))&lt;$D$6/OPDAYS_Cls1),86,payback(E31,V31,disc_rate/12,85))</f>
        <v>86</v>
      </c>
      <c r="AB31" s="166">
        <f ca="1">IF(AND(AB$22=TRUE,INDEX(CDRANGE_CLS1,MATCH($A31,$A$24:$A$67,0),MATCH(AB$20,$B$20:$G$20,0))&lt;$D$6/OPDAYS_Cls1),86,payback(F31,W31,disc_rate/12,85))</f>
        <v>86</v>
      </c>
      <c r="AC31" s="439">
        <f ca="1">IF(AND(AC$22=TRUE,INDEX(CDRANGE_CLS1,MATCH($A31,$A$24:$A$67,0),MATCH(AC$20,$B$20:$G$20,0))&lt;$D$6/OPDAYS_Cls1),86,payback(G31,X31,disc_rate/12,85))</f>
        <v>86</v>
      </c>
      <c r="AD31" s="168">
        <f t="shared" si="35"/>
        <v>0</v>
      </c>
      <c r="AE31" s="169">
        <f t="shared" si="36"/>
        <v>0</v>
      </c>
      <c r="AF31" s="169">
        <f t="shared" si="37"/>
        <v>0</v>
      </c>
      <c r="AG31" s="169">
        <f t="shared" si="38"/>
        <v>0</v>
      </c>
      <c r="AH31" s="170">
        <f t="shared" si="39"/>
        <v>0</v>
      </c>
      <c r="AI31" s="986">
        <f t="shared" si="40"/>
        <v>0</v>
      </c>
      <c r="AJ31" s="987">
        <f t="shared" si="41"/>
        <v>0</v>
      </c>
      <c r="AK31" s="987">
        <f t="shared" si="42"/>
        <v>0</v>
      </c>
      <c r="AL31" s="987">
        <f t="shared" si="43"/>
        <v>0</v>
      </c>
      <c r="AM31" s="995">
        <f t="shared" si="44"/>
        <v>0</v>
      </c>
      <c r="AN31" s="171">
        <f t="shared" si="66"/>
        <v>0</v>
      </c>
      <c r="AO31" s="172">
        <f t="shared" si="67"/>
        <v>0</v>
      </c>
      <c r="AP31" s="172">
        <f t="shared" si="68"/>
        <v>0</v>
      </c>
      <c r="AQ31" s="172">
        <f t="shared" si="69"/>
        <v>0</v>
      </c>
      <c r="AR31" s="445">
        <f t="shared" si="70"/>
        <v>0</v>
      </c>
      <c r="AS31" s="168">
        <f t="shared" ca="1" si="46"/>
        <v>0</v>
      </c>
      <c r="AT31" s="169">
        <f t="shared" ca="1" si="47"/>
        <v>0</v>
      </c>
      <c r="AU31" s="169">
        <f t="shared" si="48"/>
        <v>0</v>
      </c>
      <c r="AV31" s="169">
        <f t="shared" ca="1" si="49"/>
        <v>0</v>
      </c>
      <c r="AW31" s="170">
        <f t="shared" ca="1" si="50"/>
        <v>0</v>
      </c>
      <c r="AX31" s="168">
        <f t="shared" ca="1" si="51"/>
        <v>0</v>
      </c>
      <c r="AY31" s="169">
        <f t="shared" ca="1" si="52"/>
        <v>0</v>
      </c>
      <c r="AZ31" s="169">
        <f t="shared" si="53"/>
        <v>0</v>
      </c>
      <c r="BA31" s="169">
        <f t="shared" ca="1" si="71"/>
        <v>0</v>
      </c>
      <c r="BB31" s="170">
        <f t="shared" ca="1" si="72"/>
        <v>0</v>
      </c>
      <c r="BC31" s="168">
        <f t="shared" ca="1" si="73"/>
        <v>1</v>
      </c>
      <c r="BD31" s="169">
        <f t="shared" ca="1" si="56"/>
        <v>0</v>
      </c>
      <c r="BE31" s="169">
        <f t="shared" ca="1" si="57"/>
        <v>0</v>
      </c>
      <c r="BF31" s="169">
        <f t="shared" ca="1" si="58"/>
        <v>0</v>
      </c>
      <c r="BG31" s="169">
        <f t="shared" ca="1" si="59"/>
        <v>0</v>
      </c>
      <c r="BH31" s="170">
        <f t="shared" ca="1" si="60"/>
        <v>0</v>
      </c>
    </row>
    <row r="32" spans="1:60" ht="13.5" thickBot="1" x14ac:dyDescent="0.25">
      <c r="A32" s="174">
        <v>2015</v>
      </c>
      <c r="B32" s="670">
        <f t="shared" si="26"/>
        <v>151412</v>
      </c>
      <c r="C32" s="671">
        <f t="shared" si="26"/>
        <v>1000000</v>
      </c>
      <c r="D32" s="671">
        <f t="shared" si="26"/>
        <v>1000000</v>
      </c>
      <c r="E32" s="671">
        <f t="shared" si="26"/>
        <v>1000000</v>
      </c>
      <c r="F32" s="671">
        <f t="shared" si="26"/>
        <v>1000000</v>
      </c>
      <c r="G32" s="672">
        <f t="shared" si="26"/>
        <v>1000000</v>
      </c>
      <c r="H32" s="628">
        <f t="shared" si="27"/>
        <v>1</v>
      </c>
      <c r="I32" s="629">
        <f t="shared" si="27"/>
        <v>1</v>
      </c>
      <c r="J32" s="629">
        <f t="shared" si="27"/>
        <v>1</v>
      </c>
      <c r="K32" s="629">
        <f t="shared" si="27"/>
        <v>1</v>
      </c>
      <c r="L32" s="629">
        <f t="shared" si="27"/>
        <v>1</v>
      </c>
      <c r="M32" s="630">
        <f t="shared" si="27"/>
        <v>1</v>
      </c>
      <c r="N32" s="625">
        <f t="shared" si="28"/>
        <v>7594.0852006445393</v>
      </c>
      <c r="O32" s="626">
        <f t="shared" si="29"/>
        <v>46858.358645460277</v>
      </c>
      <c r="P32" s="626">
        <f t="shared" si="30"/>
        <v>46858.358645460277</v>
      </c>
      <c r="Q32" s="626">
        <f t="shared" si="31"/>
        <v>152708.41189275766</v>
      </c>
      <c r="R32" s="626">
        <f t="shared" si="32"/>
        <v>231554.58773875586</v>
      </c>
      <c r="S32" s="627">
        <f t="shared" si="33"/>
        <v>46858.358645460277</v>
      </c>
      <c r="T32" s="584">
        <f t="shared" si="61"/>
        <v>-39264.273444815735</v>
      </c>
      <c r="U32" s="176">
        <f t="shared" si="62"/>
        <v>-39264.273444815735</v>
      </c>
      <c r="V32" s="176">
        <f t="shared" si="63"/>
        <v>-145114.32669211313</v>
      </c>
      <c r="W32" s="176">
        <f t="shared" si="64"/>
        <v>-223960.50253811132</v>
      </c>
      <c r="X32" s="177">
        <f t="shared" si="65"/>
        <v>-39264.273444815735</v>
      </c>
      <c r="Y32" s="179">
        <f ca="1">IF(AND(Y$22=TRUE,INDEX(CDRANGE_CLS1,MATCH($A32,$A$24:$A$67,0),MATCH(Y$20,$B$20:$G$20,0))&lt;$D$6/OPDAYS_Cls1),86,payback(C32,T32,disc_rate/12,85))</f>
        <v>86</v>
      </c>
      <c r="Z32" s="180">
        <f ca="1">IF(AND(Z$22=TRUE,INDEX(CDRANGE_CLS1,MATCH($A32,$A$24:$A$67,0),MATCH(Z$20,$B$20:$G$20,0))&lt;$D$6/OPDAYS_Cls1),86,payback(D32,U32,disc_rate/12,85))</f>
        <v>86</v>
      </c>
      <c r="AA32" s="180">
        <f>IF(AND(AA$22=TRUE,INDEX(CDRANGE_CLS1,MATCH($A32,$A$24:$A$67,0),MATCH(AA$20,$B$20:$G$20,0))&lt;$D$6/OPDAYS_Cls1),86,payback(E32,V32,disc_rate/12,85))</f>
        <v>86</v>
      </c>
      <c r="AB32" s="180">
        <f ca="1">IF(AND(AB$22=TRUE,INDEX(CDRANGE_CLS1,MATCH($A32,$A$24:$A$67,0),MATCH(AB$20,$B$20:$G$20,0))&lt;$D$6/OPDAYS_Cls1),86,payback(F32,W32,disc_rate/12,85))</f>
        <v>86</v>
      </c>
      <c r="AC32" s="440">
        <f ca="1">IF(AND(AC$22=TRUE,INDEX(CDRANGE_CLS1,MATCH($A32,$A$24:$A$67,0),MATCH(AC$20,$B$20:$G$20,0))&lt;$D$6/OPDAYS_Cls1),86,payback(G32,X32,disc_rate/12,85))</f>
        <v>86</v>
      </c>
      <c r="AD32" s="182">
        <f t="shared" si="35"/>
        <v>0</v>
      </c>
      <c r="AE32" s="183">
        <f t="shared" si="36"/>
        <v>0</v>
      </c>
      <c r="AF32" s="183">
        <f t="shared" si="37"/>
        <v>0</v>
      </c>
      <c r="AG32" s="183">
        <f t="shared" si="38"/>
        <v>0</v>
      </c>
      <c r="AH32" s="184">
        <f t="shared" si="39"/>
        <v>0</v>
      </c>
      <c r="AI32" s="989">
        <f t="shared" si="40"/>
        <v>0</v>
      </c>
      <c r="AJ32" s="990">
        <f t="shared" si="41"/>
        <v>0</v>
      </c>
      <c r="AK32" s="990">
        <f t="shared" si="42"/>
        <v>0</v>
      </c>
      <c r="AL32" s="990">
        <f t="shared" si="43"/>
        <v>0</v>
      </c>
      <c r="AM32" s="996">
        <f t="shared" si="44"/>
        <v>0</v>
      </c>
      <c r="AN32" s="185">
        <f t="shared" si="66"/>
        <v>0</v>
      </c>
      <c r="AO32" s="186">
        <f t="shared" si="67"/>
        <v>0</v>
      </c>
      <c r="AP32" s="186">
        <f t="shared" si="68"/>
        <v>0</v>
      </c>
      <c r="AQ32" s="186">
        <f t="shared" si="69"/>
        <v>0</v>
      </c>
      <c r="AR32" s="446">
        <f t="shared" si="70"/>
        <v>0</v>
      </c>
      <c r="AS32" s="182">
        <f t="shared" ca="1" si="46"/>
        <v>0</v>
      </c>
      <c r="AT32" s="183">
        <f t="shared" ca="1" si="47"/>
        <v>0</v>
      </c>
      <c r="AU32" s="183">
        <f t="shared" si="48"/>
        <v>0</v>
      </c>
      <c r="AV32" s="183">
        <f t="shared" ca="1" si="49"/>
        <v>0</v>
      </c>
      <c r="AW32" s="184">
        <f t="shared" ca="1" si="50"/>
        <v>0</v>
      </c>
      <c r="AX32" s="182">
        <f t="shared" ca="1" si="51"/>
        <v>0</v>
      </c>
      <c r="AY32" s="183">
        <f t="shared" ca="1" si="52"/>
        <v>0</v>
      </c>
      <c r="AZ32" s="183">
        <f t="shared" si="53"/>
        <v>0</v>
      </c>
      <c r="BA32" s="183">
        <f t="shared" ca="1" si="71"/>
        <v>0</v>
      </c>
      <c r="BB32" s="184">
        <f t="shared" ca="1" si="72"/>
        <v>0</v>
      </c>
      <c r="BC32" s="182">
        <f t="shared" ca="1" si="73"/>
        <v>1</v>
      </c>
      <c r="BD32" s="183">
        <f t="shared" ca="1" si="56"/>
        <v>0</v>
      </c>
      <c r="BE32" s="183">
        <f t="shared" ca="1" si="57"/>
        <v>0</v>
      </c>
      <c r="BF32" s="183">
        <f t="shared" ca="1" si="58"/>
        <v>0</v>
      </c>
      <c r="BG32" s="183">
        <f t="shared" ca="1" si="59"/>
        <v>0</v>
      </c>
      <c r="BH32" s="184">
        <f t="shared" ca="1" si="60"/>
        <v>0</v>
      </c>
    </row>
    <row r="33" spans="1:62" x14ac:dyDescent="0.2">
      <c r="A33" s="188">
        <v>2016</v>
      </c>
      <c r="B33" s="673">
        <f t="shared" si="26"/>
        <v>151412</v>
      </c>
      <c r="C33" s="674">
        <f t="shared" si="26"/>
        <v>1000000</v>
      </c>
      <c r="D33" s="674">
        <f t="shared" si="26"/>
        <v>1000000</v>
      </c>
      <c r="E33" s="674">
        <f t="shared" si="26"/>
        <v>1000000</v>
      </c>
      <c r="F33" s="674">
        <f t="shared" si="26"/>
        <v>1000000</v>
      </c>
      <c r="G33" s="675">
        <f t="shared" si="26"/>
        <v>1000000</v>
      </c>
      <c r="H33" s="628">
        <f t="shared" si="27"/>
        <v>1</v>
      </c>
      <c r="I33" s="629">
        <f t="shared" si="27"/>
        <v>1</v>
      </c>
      <c r="J33" s="629">
        <f t="shared" si="27"/>
        <v>1</v>
      </c>
      <c r="K33" s="629">
        <f t="shared" si="27"/>
        <v>1</v>
      </c>
      <c r="L33" s="629">
        <f t="shared" si="27"/>
        <v>1</v>
      </c>
      <c r="M33" s="630">
        <f t="shared" si="27"/>
        <v>1</v>
      </c>
      <c r="N33" s="147">
        <f t="shared" si="28"/>
        <v>6411.1423877861926</v>
      </c>
      <c r="O33" s="148">
        <f t="shared" si="29"/>
        <v>40385.092465463989</v>
      </c>
      <c r="P33" s="148">
        <f t="shared" si="30"/>
        <v>40385.092465463989</v>
      </c>
      <c r="Q33" s="148">
        <f t="shared" si="31"/>
        <v>149600.56089248261</v>
      </c>
      <c r="R33" s="148">
        <f t="shared" si="32"/>
        <v>221906.47991630773</v>
      </c>
      <c r="S33" s="150">
        <f t="shared" si="33"/>
        <v>40385.092465463989</v>
      </c>
      <c r="T33" s="580">
        <f t="shared" si="61"/>
        <v>-33973.9500776778</v>
      </c>
      <c r="U33" s="148">
        <f t="shared" si="62"/>
        <v>-33973.9500776778</v>
      </c>
      <c r="V33" s="148">
        <f t="shared" si="63"/>
        <v>-143189.41850469643</v>
      </c>
      <c r="W33" s="148">
        <f t="shared" si="64"/>
        <v>-215495.33752852154</v>
      </c>
      <c r="X33" s="149">
        <f t="shared" si="65"/>
        <v>-33973.9500776778</v>
      </c>
      <c r="Y33" s="151">
        <f ca="1">IF(AND(Y$22=TRUE,INDEX(CDRANGE_CLS1,MATCH($A33,$A$24:$A$67,0),MATCH(Y$20,$B$20:$G$20,0))&lt;$D$6/OPDAYS_Cls1),86,payback(C33,T33,disc_rate/12,85))</f>
        <v>86</v>
      </c>
      <c r="Z33" s="152">
        <f ca="1">IF(AND(Z$22=TRUE,INDEX(CDRANGE_CLS1,MATCH($A33,$A$24:$A$67,0),MATCH(Z$20,$B$20:$G$20,0))&lt;$D$6/OPDAYS_Cls1),86,payback(D33,U33,disc_rate/12,85))</f>
        <v>86</v>
      </c>
      <c r="AA33" s="152">
        <f>IF(AND(AA$22=TRUE,INDEX(CDRANGE_CLS1,MATCH($A33,$A$24:$A$67,0),MATCH(AA$20,$B$20:$G$20,0))&lt;$D$6/OPDAYS_Cls1),86,payback(E33,V33,disc_rate/12,85))</f>
        <v>86</v>
      </c>
      <c r="AB33" s="152">
        <f ca="1">IF(AND(AB$22=TRUE,INDEX(CDRANGE_CLS1,MATCH($A33,$A$24:$A$67,0),MATCH(AB$20,$B$20:$G$20,0))&lt;$D$6/OPDAYS_Cls1),86,payback(F33,W33,disc_rate/12,85))</f>
        <v>86</v>
      </c>
      <c r="AC33" s="457">
        <f ca="1">IF(AND(AC$22=TRUE,INDEX(CDRANGE_CLS1,MATCH($A33,$A$24:$A$67,0),MATCH(AC$20,$B$20:$G$20,0))&lt;$D$6/OPDAYS_Cls1),86,payback(G33,X33,disc_rate/12,85))</f>
        <v>86</v>
      </c>
      <c r="AD33" s="154">
        <f t="shared" si="35"/>
        <v>0</v>
      </c>
      <c r="AE33" s="155">
        <f t="shared" si="36"/>
        <v>0</v>
      </c>
      <c r="AF33" s="155">
        <f t="shared" si="37"/>
        <v>0</v>
      </c>
      <c r="AG33" s="155">
        <f t="shared" si="38"/>
        <v>0</v>
      </c>
      <c r="AH33" s="156">
        <f t="shared" si="39"/>
        <v>0</v>
      </c>
      <c r="AI33" s="983">
        <f t="shared" si="40"/>
        <v>0</v>
      </c>
      <c r="AJ33" s="984">
        <f t="shared" si="41"/>
        <v>0</v>
      </c>
      <c r="AK33" s="984">
        <f t="shared" si="42"/>
        <v>0</v>
      </c>
      <c r="AL33" s="984">
        <f t="shared" si="43"/>
        <v>0</v>
      </c>
      <c r="AM33" s="997">
        <f t="shared" si="44"/>
        <v>0</v>
      </c>
      <c r="AN33" s="157">
        <f t="shared" si="66"/>
        <v>0</v>
      </c>
      <c r="AO33" s="158">
        <f t="shared" si="67"/>
        <v>0</v>
      </c>
      <c r="AP33" s="158">
        <f t="shared" si="68"/>
        <v>0</v>
      </c>
      <c r="AQ33" s="158">
        <f t="shared" si="69"/>
        <v>0</v>
      </c>
      <c r="AR33" s="458">
        <f t="shared" si="70"/>
        <v>0</v>
      </c>
      <c r="AS33" s="154">
        <f t="shared" ca="1" si="46"/>
        <v>0</v>
      </c>
      <c r="AT33" s="155">
        <f t="shared" ca="1" si="47"/>
        <v>0</v>
      </c>
      <c r="AU33" s="155">
        <f t="shared" si="48"/>
        <v>0</v>
      </c>
      <c r="AV33" s="155">
        <f t="shared" ca="1" si="49"/>
        <v>0</v>
      </c>
      <c r="AW33" s="156">
        <f t="shared" ca="1" si="50"/>
        <v>0</v>
      </c>
      <c r="AX33" s="154">
        <f t="shared" ca="1" si="51"/>
        <v>0</v>
      </c>
      <c r="AY33" s="155">
        <f t="shared" ca="1" si="52"/>
        <v>0</v>
      </c>
      <c r="AZ33" s="155">
        <f t="shared" si="53"/>
        <v>0</v>
      </c>
      <c r="BA33" s="155">
        <f t="shared" ca="1" si="71"/>
        <v>0</v>
      </c>
      <c r="BB33" s="156">
        <f t="shared" ca="1" si="72"/>
        <v>0</v>
      </c>
      <c r="BC33" s="154">
        <f t="shared" ca="1" si="73"/>
        <v>1</v>
      </c>
      <c r="BD33" s="155">
        <f t="shared" ca="1" si="56"/>
        <v>0</v>
      </c>
      <c r="BE33" s="155">
        <f t="shared" ca="1" si="57"/>
        <v>0</v>
      </c>
      <c r="BF33" s="155">
        <f t="shared" ca="1" si="58"/>
        <v>0</v>
      </c>
      <c r="BG33" s="155">
        <f t="shared" ca="1" si="59"/>
        <v>0</v>
      </c>
      <c r="BH33" s="156">
        <f t="shared" ca="1" si="60"/>
        <v>0</v>
      </c>
    </row>
    <row r="34" spans="1:62" x14ac:dyDescent="0.2">
      <c r="A34" s="189">
        <v>2017</v>
      </c>
      <c r="B34" s="667">
        <f t="shared" ref="B34:G43" si="74">ROUND(INDEX(COST_Cls1,$A34-($A$24-1),MATCH(B$20,TECHOPTS_Cls1,0)),2)</f>
        <v>151412</v>
      </c>
      <c r="C34" s="668">
        <f t="shared" si="74"/>
        <v>1000000</v>
      </c>
      <c r="D34" s="668">
        <f t="shared" si="74"/>
        <v>1000000</v>
      </c>
      <c r="E34" s="668">
        <f t="shared" si="74"/>
        <v>1000000</v>
      </c>
      <c r="F34" s="668">
        <f t="shared" si="74"/>
        <v>1000000</v>
      </c>
      <c r="G34" s="669">
        <f t="shared" si="74"/>
        <v>1000000</v>
      </c>
      <c r="H34" s="628">
        <f t="shared" ref="H34:M43" si="75">IF(H$21="Single-fuel",1,1-MIN(INDEX(CDRANGE_CLS1,$A34-($A$24-1),MATCH(H$20,TECHOPTS_Cls1,0))*OPDAYS_Cls1/$D$6,1))</f>
        <v>1</v>
      </c>
      <c r="I34" s="629">
        <f t="shared" si="75"/>
        <v>1</v>
      </c>
      <c r="J34" s="629">
        <f t="shared" si="75"/>
        <v>1</v>
      </c>
      <c r="K34" s="629">
        <f t="shared" si="75"/>
        <v>1</v>
      </c>
      <c r="L34" s="629">
        <f t="shared" si="75"/>
        <v>1</v>
      </c>
      <c r="M34" s="630">
        <f t="shared" si="75"/>
        <v>1</v>
      </c>
      <c r="N34" s="147">
        <f t="shared" si="28"/>
        <v>7378.2150170951218</v>
      </c>
      <c r="O34" s="148">
        <f t="shared" si="29"/>
        <v>47441.038429456799</v>
      </c>
      <c r="P34" s="148">
        <f t="shared" si="30"/>
        <v>47441.038429456799</v>
      </c>
      <c r="Q34" s="148">
        <f t="shared" si="31"/>
        <v>150719.45458093725</v>
      </c>
      <c r="R34" s="148">
        <f t="shared" si="32"/>
        <v>212258.37209385951</v>
      </c>
      <c r="S34" s="150">
        <f t="shared" si="33"/>
        <v>47441.038429456799</v>
      </c>
      <c r="T34" s="581">
        <f t="shared" si="61"/>
        <v>-40062.823412361678</v>
      </c>
      <c r="U34" s="162">
        <f t="shared" si="62"/>
        <v>-40062.823412361678</v>
      </c>
      <c r="V34" s="162">
        <f t="shared" si="63"/>
        <v>-143341.23956384213</v>
      </c>
      <c r="W34" s="162">
        <f t="shared" si="64"/>
        <v>-204880.15707676439</v>
      </c>
      <c r="X34" s="163">
        <f t="shared" si="65"/>
        <v>-40062.823412361678</v>
      </c>
      <c r="Y34" s="165">
        <f ca="1">IF(AND(Y$22=TRUE,INDEX(CDRANGE_CLS1,MATCH($A34,$A$24:$A$67,0),MATCH(Y$20,$B$20:$G$20,0))&lt;$D$6/OPDAYS_Cls1),86,payback(C34,T34,disc_rate/12,85))</f>
        <v>86</v>
      </c>
      <c r="Z34" s="166">
        <f ca="1">IF(AND(Z$22=TRUE,INDEX(CDRANGE_CLS1,MATCH($A34,$A$24:$A$67,0),MATCH(Z$20,$B$20:$G$20,0))&lt;$D$6/OPDAYS_Cls1),86,payback(D34,U34,disc_rate/12,85))</f>
        <v>86</v>
      </c>
      <c r="AA34" s="166">
        <f>IF(AND(AA$22=TRUE,INDEX(CDRANGE_CLS1,MATCH($A34,$A$24:$A$67,0),MATCH(AA$20,$B$20:$G$20,0))&lt;$D$6/OPDAYS_Cls1),86,payback(E34,V34,disc_rate/12,85))</f>
        <v>86</v>
      </c>
      <c r="AB34" s="166">
        <f ca="1">IF(AND(AB$22=TRUE,INDEX(CDRANGE_CLS1,MATCH($A34,$A$24:$A$67,0),MATCH(AB$20,$B$20:$G$20,0))&lt;$D$6/OPDAYS_Cls1),86,payback(F34,W34,disc_rate/12,85))</f>
        <v>86</v>
      </c>
      <c r="AC34" s="439">
        <f ca="1">IF(AND(AC$22=TRUE,INDEX(CDRANGE_CLS1,MATCH($A34,$A$24:$A$67,0),MATCH(AC$20,$B$20:$G$20,0))&lt;$D$6/OPDAYS_Cls1),86,payback(G34,X34,disc_rate/12,85))</f>
        <v>86</v>
      </c>
      <c r="AD34" s="168">
        <f t="shared" si="35"/>
        <v>0</v>
      </c>
      <c r="AE34" s="169">
        <f t="shared" si="36"/>
        <v>0</v>
      </c>
      <c r="AF34" s="169">
        <f t="shared" si="37"/>
        <v>0</v>
      </c>
      <c r="AG34" s="169">
        <f t="shared" si="38"/>
        <v>0</v>
      </c>
      <c r="AH34" s="170">
        <f t="shared" si="39"/>
        <v>0</v>
      </c>
      <c r="AI34" s="986">
        <f t="shared" si="40"/>
        <v>0</v>
      </c>
      <c r="AJ34" s="987">
        <f t="shared" si="41"/>
        <v>0</v>
      </c>
      <c r="AK34" s="987">
        <f t="shared" si="42"/>
        <v>0</v>
      </c>
      <c r="AL34" s="987">
        <f t="shared" si="43"/>
        <v>0</v>
      </c>
      <c r="AM34" s="995">
        <f t="shared" si="44"/>
        <v>0</v>
      </c>
      <c r="AN34" s="171">
        <f t="shared" si="66"/>
        <v>0</v>
      </c>
      <c r="AO34" s="172">
        <f t="shared" si="67"/>
        <v>0</v>
      </c>
      <c r="AP34" s="172">
        <f t="shared" si="68"/>
        <v>0</v>
      </c>
      <c r="AQ34" s="172">
        <f t="shared" si="69"/>
        <v>0</v>
      </c>
      <c r="AR34" s="445">
        <f t="shared" si="70"/>
        <v>0</v>
      </c>
      <c r="AS34" s="168">
        <f t="shared" ca="1" si="46"/>
        <v>0</v>
      </c>
      <c r="AT34" s="169">
        <f t="shared" ca="1" si="47"/>
        <v>0</v>
      </c>
      <c r="AU34" s="169">
        <f t="shared" si="48"/>
        <v>0</v>
      </c>
      <c r="AV34" s="169">
        <f t="shared" ca="1" si="49"/>
        <v>0</v>
      </c>
      <c r="AW34" s="170">
        <f t="shared" ca="1" si="50"/>
        <v>0</v>
      </c>
      <c r="AX34" s="168">
        <f t="shared" ca="1" si="51"/>
        <v>0</v>
      </c>
      <c r="AY34" s="169">
        <f t="shared" ca="1" si="52"/>
        <v>0</v>
      </c>
      <c r="AZ34" s="169">
        <f t="shared" si="53"/>
        <v>0</v>
      </c>
      <c r="BA34" s="169">
        <f t="shared" ca="1" si="71"/>
        <v>0</v>
      </c>
      <c r="BB34" s="170">
        <f t="shared" ca="1" si="72"/>
        <v>0</v>
      </c>
      <c r="BC34" s="168">
        <f t="shared" ca="1" si="73"/>
        <v>1</v>
      </c>
      <c r="BD34" s="169">
        <f t="shared" ca="1" si="56"/>
        <v>0</v>
      </c>
      <c r="BE34" s="169">
        <f t="shared" ca="1" si="57"/>
        <v>0</v>
      </c>
      <c r="BF34" s="169">
        <f t="shared" ca="1" si="58"/>
        <v>0</v>
      </c>
      <c r="BG34" s="169">
        <f t="shared" ca="1" si="59"/>
        <v>0</v>
      </c>
      <c r="BH34" s="170">
        <f t="shared" ca="1" si="60"/>
        <v>0</v>
      </c>
    </row>
    <row r="35" spans="1:62" x14ac:dyDescent="0.2">
      <c r="A35" s="189">
        <v>2018</v>
      </c>
      <c r="B35" s="667">
        <f t="shared" si="74"/>
        <v>151412</v>
      </c>
      <c r="C35" s="668">
        <f t="shared" si="74"/>
        <v>1000000</v>
      </c>
      <c r="D35" s="668">
        <f t="shared" si="74"/>
        <v>1000000</v>
      </c>
      <c r="E35" s="668">
        <f t="shared" si="74"/>
        <v>1000000</v>
      </c>
      <c r="F35" s="668">
        <f t="shared" si="74"/>
        <v>1000000</v>
      </c>
      <c r="G35" s="669">
        <f t="shared" si="74"/>
        <v>1000000</v>
      </c>
      <c r="H35" s="628">
        <f t="shared" si="75"/>
        <v>1</v>
      </c>
      <c r="I35" s="629">
        <f t="shared" si="75"/>
        <v>1</v>
      </c>
      <c r="J35" s="629">
        <f t="shared" si="75"/>
        <v>1</v>
      </c>
      <c r="K35" s="629">
        <f t="shared" si="75"/>
        <v>1</v>
      </c>
      <c r="L35" s="629">
        <f t="shared" si="75"/>
        <v>1</v>
      </c>
      <c r="M35" s="630">
        <f t="shared" si="75"/>
        <v>1</v>
      </c>
      <c r="N35" s="147">
        <f t="shared" si="28"/>
        <v>9116.5703144910931</v>
      </c>
      <c r="O35" s="148">
        <f t="shared" si="29"/>
        <v>58280.207939799562</v>
      </c>
      <c r="P35" s="148">
        <f t="shared" si="30"/>
        <v>58280.207939799562</v>
      </c>
      <c r="Q35" s="148">
        <f t="shared" si="31"/>
        <v>172399.28867529429</v>
      </c>
      <c r="R35" s="148">
        <f t="shared" si="32"/>
        <v>202610.26427141138</v>
      </c>
      <c r="S35" s="150">
        <f t="shared" si="33"/>
        <v>58280.207939799562</v>
      </c>
      <c r="T35" s="581">
        <f t="shared" si="61"/>
        <v>-49163.637625308467</v>
      </c>
      <c r="U35" s="162">
        <f t="shared" si="62"/>
        <v>-49163.637625308467</v>
      </c>
      <c r="V35" s="162">
        <f t="shared" si="63"/>
        <v>-163282.71836080321</v>
      </c>
      <c r="W35" s="162">
        <f t="shared" si="64"/>
        <v>-193493.6939569203</v>
      </c>
      <c r="X35" s="163">
        <f t="shared" si="65"/>
        <v>-49163.637625308467</v>
      </c>
      <c r="Y35" s="165">
        <f ca="1">IF(AND(Y$22=TRUE,INDEX(CDRANGE_CLS1,MATCH($A35,$A$24:$A$67,0),MATCH(Y$20,$B$20:$G$20,0))&lt;$D$6/OPDAYS_Cls1),86,payback(C35,T35,disc_rate/12,85))</f>
        <v>86</v>
      </c>
      <c r="Z35" s="166">
        <f ca="1">IF(AND(Z$22=TRUE,INDEX(CDRANGE_CLS1,MATCH($A35,$A$24:$A$67,0),MATCH(Z$20,$B$20:$G$20,0))&lt;$D$6/OPDAYS_Cls1),86,payback(D35,U35,disc_rate/12,85))</f>
        <v>86</v>
      </c>
      <c r="AA35" s="166">
        <f>IF(AND(AA$22=TRUE,INDEX(CDRANGE_CLS1,MATCH($A35,$A$24:$A$67,0),MATCH(AA$20,$B$20:$G$20,0))&lt;$D$6/OPDAYS_Cls1),86,payback(E35,V35,disc_rate/12,85))</f>
        <v>86</v>
      </c>
      <c r="AB35" s="166">
        <f ca="1">IF(AND(AB$22=TRUE,INDEX(CDRANGE_CLS1,MATCH($A35,$A$24:$A$67,0),MATCH(AB$20,$B$20:$G$20,0))&lt;$D$6/OPDAYS_Cls1),86,payback(F35,W35,disc_rate/12,85))</f>
        <v>86</v>
      </c>
      <c r="AC35" s="439">
        <f ca="1">IF(AND(AC$22=TRUE,INDEX(CDRANGE_CLS1,MATCH($A35,$A$24:$A$67,0),MATCH(AC$20,$B$20:$G$20,0))&lt;$D$6/OPDAYS_Cls1),86,payback(G35,X35,disc_rate/12,85))</f>
        <v>86</v>
      </c>
      <c r="AD35" s="168">
        <f t="shared" si="35"/>
        <v>0</v>
      </c>
      <c r="AE35" s="169">
        <f t="shared" si="36"/>
        <v>0</v>
      </c>
      <c r="AF35" s="169">
        <f t="shared" si="37"/>
        <v>0</v>
      </c>
      <c r="AG35" s="169">
        <f t="shared" si="38"/>
        <v>0</v>
      </c>
      <c r="AH35" s="170">
        <f t="shared" si="39"/>
        <v>0</v>
      </c>
      <c r="AI35" s="986">
        <f t="shared" si="40"/>
        <v>0</v>
      </c>
      <c r="AJ35" s="987">
        <f t="shared" si="41"/>
        <v>0</v>
      </c>
      <c r="AK35" s="987">
        <f t="shared" si="42"/>
        <v>0</v>
      </c>
      <c r="AL35" s="987">
        <f t="shared" si="43"/>
        <v>0</v>
      </c>
      <c r="AM35" s="995">
        <f t="shared" si="44"/>
        <v>0</v>
      </c>
      <c r="AN35" s="171">
        <f t="shared" si="66"/>
        <v>0</v>
      </c>
      <c r="AO35" s="172">
        <f t="shared" si="67"/>
        <v>0</v>
      </c>
      <c r="AP35" s="172">
        <f t="shared" si="68"/>
        <v>0</v>
      </c>
      <c r="AQ35" s="172">
        <f t="shared" si="69"/>
        <v>0</v>
      </c>
      <c r="AR35" s="445">
        <f t="shared" si="70"/>
        <v>0</v>
      </c>
      <c r="AS35" s="168">
        <f t="shared" ca="1" si="46"/>
        <v>0</v>
      </c>
      <c r="AT35" s="169">
        <f t="shared" ca="1" si="47"/>
        <v>0</v>
      </c>
      <c r="AU35" s="169">
        <f t="shared" si="48"/>
        <v>0</v>
      </c>
      <c r="AV35" s="169">
        <f t="shared" ca="1" si="49"/>
        <v>0</v>
      </c>
      <c r="AW35" s="170">
        <f t="shared" ca="1" si="50"/>
        <v>0</v>
      </c>
      <c r="AX35" s="168">
        <f t="shared" ca="1" si="51"/>
        <v>0</v>
      </c>
      <c r="AY35" s="169">
        <f t="shared" ca="1" si="52"/>
        <v>0</v>
      </c>
      <c r="AZ35" s="169">
        <f t="shared" si="53"/>
        <v>0</v>
      </c>
      <c r="BA35" s="169">
        <f t="shared" ca="1" si="71"/>
        <v>0</v>
      </c>
      <c r="BB35" s="170">
        <f t="shared" ca="1" si="72"/>
        <v>0</v>
      </c>
      <c r="BC35" s="168">
        <f t="shared" ca="1" si="73"/>
        <v>1</v>
      </c>
      <c r="BD35" s="169">
        <f t="shared" ca="1" si="56"/>
        <v>0</v>
      </c>
      <c r="BE35" s="169">
        <f t="shared" ca="1" si="57"/>
        <v>0</v>
      </c>
      <c r="BF35" s="169">
        <f t="shared" ca="1" si="58"/>
        <v>0</v>
      </c>
      <c r="BG35" s="169">
        <f t="shared" ca="1" si="59"/>
        <v>0</v>
      </c>
      <c r="BH35" s="170">
        <f t="shared" ca="1" si="60"/>
        <v>0</v>
      </c>
    </row>
    <row r="36" spans="1:62" x14ac:dyDescent="0.2">
      <c r="A36" s="189">
        <v>2019</v>
      </c>
      <c r="B36" s="667">
        <f t="shared" si="74"/>
        <v>151412</v>
      </c>
      <c r="C36" s="668">
        <f t="shared" si="74"/>
        <v>1000000</v>
      </c>
      <c r="D36" s="668">
        <f t="shared" si="74"/>
        <v>1000000</v>
      </c>
      <c r="E36" s="668">
        <f t="shared" si="74"/>
        <v>1000000</v>
      </c>
      <c r="F36" s="668">
        <f t="shared" si="74"/>
        <v>1000000</v>
      </c>
      <c r="G36" s="669">
        <f t="shared" si="74"/>
        <v>1000000</v>
      </c>
      <c r="H36" s="628">
        <f t="shared" si="75"/>
        <v>1</v>
      </c>
      <c r="I36" s="629">
        <f t="shared" si="75"/>
        <v>1</v>
      </c>
      <c r="J36" s="629">
        <f t="shared" si="75"/>
        <v>1</v>
      </c>
      <c r="K36" s="629">
        <f t="shared" si="75"/>
        <v>1</v>
      </c>
      <c r="L36" s="629">
        <f t="shared" si="75"/>
        <v>1</v>
      </c>
      <c r="M36" s="630">
        <f t="shared" si="75"/>
        <v>1</v>
      </c>
      <c r="N36" s="147">
        <f t="shared" si="28"/>
        <v>8900.0319177625734</v>
      </c>
      <c r="O36" s="148">
        <f t="shared" si="29"/>
        <v>57257.038372427814</v>
      </c>
      <c r="P36" s="148">
        <f t="shared" si="30"/>
        <v>57257.038372427814</v>
      </c>
      <c r="Q36" s="148">
        <f t="shared" si="31"/>
        <v>172218.67259266533</v>
      </c>
      <c r="R36" s="148">
        <f t="shared" si="32"/>
        <v>192962.15644896321</v>
      </c>
      <c r="S36" s="150">
        <f t="shared" si="33"/>
        <v>57257.038372427814</v>
      </c>
      <c r="T36" s="581">
        <f t="shared" si="61"/>
        <v>-48357.006454665243</v>
      </c>
      <c r="U36" s="162">
        <f t="shared" si="62"/>
        <v>-48357.006454665243</v>
      </c>
      <c r="V36" s="162">
        <f t="shared" si="63"/>
        <v>-163318.64067490277</v>
      </c>
      <c r="W36" s="162">
        <f t="shared" si="64"/>
        <v>-184062.12453120065</v>
      </c>
      <c r="X36" s="163">
        <f t="shared" si="65"/>
        <v>-48357.006454665243</v>
      </c>
      <c r="Y36" s="165">
        <f ca="1">IF(AND(Y$22=TRUE,INDEX(CDRANGE_CLS1,MATCH($A36,$A$24:$A$67,0),MATCH(Y$20,$B$20:$G$20,0))&lt;$D$6/OPDAYS_Cls1),86,payback(C36,T36,disc_rate/12,85))</f>
        <v>86</v>
      </c>
      <c r="Z36" s="166">
        <f ca="1">IF(AND(Z$22=TRUE,INDEX(CDRANGE_CLS1,MATCH($A36,$A$24:$A$67,0),MATCH(Z$20,$B$20:$G$20,0))&lt;$D$6/OPDAYS_Cls1),86,payback(D36,U36,disc_rate/12,85))</f>
        <v>86</v>
      </c>
      <c r="AA36" s="166">
        <f>IF(AND(AA$22=TRUE,INDEX(CDRANGE_CLS1,MATCH($A36,$A$24:$A$67,0),MATCH(AA$20,$B$20:$G$20,0))&lt;$D$6/OPDAYS_Cls1),86,payback(E36,V36,disc_rate/12,85))</f>
        <v>86</v>
      </c>
      <c r="AB36" s="166">
        <f ca="1">IF(AND(AB$22=TRUE,INDEX(CDRANGE_CLS1,MATCH($A36,$A$24:$A$67,0),MATCH(AB$20,$B$20:$G$20,0))&lt;$D$6/OPDAYS_Cls1),86,payback(F36,W36,disc_rate/12,85))</f>
        <v>86</v>
      </c>
      <c r="AC36" s="439">
        <f ca="1">IF(AND(AC$22=TRUE,INDEX(CDRANGE_CLS1,MATCH($A36,$A$24:$A$67,0),MATCH(AC$20,$B$20:$G$20,0))&lt;$D$6/OPDAYS_Cls1),86,payback(G36,X36,disc_rate/12,85))</f>
        <v>86</v>
      </c>
      <c r="AD36" s="168">
        <f t="shared" si="35"/>
        <v>0</v>
      </c>
      <c r="AE36" s="169">
        <f t="shared" si="36"/>
        <v>0</v>
      </c>
      <c r="AF36" s="169">
        <f t="shared" si="37"/>
        <v>0</v>
      </c>
      <c r="AG36" s="169">
        <f t="shared" si="38"/>
        <v>0</v>
      </c>
      <c r="AH36" s="170">
        <f t="shared" si="39"/>
        <v>0</v>
      </c>
      <c r="AI36" s="986">
        <f t="shared" si="40"/>
        <v>0</v>
      </c>
      <c r="AJ36" s="987">
        <f t="shared" si="41"/>
        <v>0</v>
      </c>
      <c r="AK36" s="987">
        <f t="shared" si="42"/>
        <v>0</v>
      </c>
      <c r="AL36" s="987">
        <f t="shared" si="43"/>
        <v>0</v>
      </c>
      <c r="AM36" s="995">
        <f t="shared" si="44"/>
        <v>0</v>
      </c>
      <c r="AN36" s="171">
        <f t="shared" si="66"/>
        <v>0</v>
      </c>
      <c r="AO36" s="172">
        <f t="shared" si="67"/>
        <v>0</v>
      </c>
      <c r="AP36" s="172">
        <f t="shared" si="68"/>
        <v>0</v>
      </c>
      <c r="AQ36" s="172">
        <f t="shared" si="69"/>
        <v>0</v>
      </c>
      <c r="AR36" s="445">
        <f t="shared" si="70"/>
        <v>0</v>
      </c>
      <c r="AS36" s="168">
        <f t="shared" ca="1" si="46"/>
        <v>0</v>
      </c>
      <c r="AT36" s="169">
        <f t="shared" ca="1" si="47"/>
        <v>0</v>
      </c>
      <c r="AU36" s="169">
        <f t="shared" si="48"/>
        <v>0</v>
      </c>
      <c r="AV36" s="169">
        <f t="shared" ca="1" si="49"/>
        <v>0</v>
      </c>
      <c r="AW36" s="170">
        <f t="shared" ca="1" si="50"/>
        <v>0</v>
      </c>
      <c r="AX36" s="168">
        <f t="shared" ca="1" si="51"/>
        <v>0</v>
      </c>
      <c r="AY36" s="169">
        <f t="shared" ca="1" si="52"/>
        <v>0</v>
      </c>
      <c r="AZ36" s="169">
        <f t="shared" si="53"/>
        <v>0</v>
      </c>
      <c r="BA36" s="169">
        <f t="shared" ca="1" si="71"/>
        <v>0</v>
      </c>
      <c r="BB36" s="170">
        <f t="shared" ca="1" si="72"/>
        <v>0</v>
      </c>
      <c r="BC36" s="168">
        <f t="shared" ca="1" si="73"/>
        <v>1</v>
      </c>
      <c r="BD36" s="169">
        <f t="shared" ca="1" si="56"/>
        <v>0</v>
      </c>
      <c r="BE36" s="169">
        <f t="shared" ca="1" si="57"/>
        <v>0</v>
      </c>
      <c r="BF36" s="169">
        <f t="shared" ca="1" si="58"/>
        <v>0</v>
      </c>
      <c r="BG36" s="169">
        <f t="shared" ca="1" si="59"/>
        <v>0</v>
      </c>
      <c r="BH36" s="170">
        <f t="shared" ca="1" si="60"/>
        <v>0</v>
      </c>
    </row>
    <row r="37" spans="1:62" ht="13.5" thickBot="1" x14ac:dyDescent="0.25">
      <c r="A37" s="465">
        <v>2020</v>
      </c>
      <c r="B37" s="661">
        <f t="shared" si="74"/>
        <v>151412</v>
      </c>
      <c r="C37" s="662">
        <f t="shared" si="74"/>
        <v>1000000</v>
      </c>
      <c r="D37" s="662">
        <f t="shared" si="74"/>
        <v>1000000</v>
      </c>
      <c r="E37" s="662">
        <f t="shared" si="74"/>
        <v>1000000</v>
      </c>
      <c r="F37" s="662">
        <f t="shared" si="74"/>
        <v>1000000</v>
      </c>
      <c r="G37" s="663">
        <f t="shared" si="74"/>
        <v>1000000</v>
      </c>
      <c r="H37" s="628">
        <f t="shared" si="75"/>
        <v>1</v>
      </c>
      <c r="I37" s="629">
        <f t="shared" si="75"/>
        <v>1</v>
      </c>
      <c r="J37" s="629">
        <f t="shared" si="75"/>
        <v>1</v>
      </c>
      <c r="K37" s="629">
        <f t="shared" si="75"/>
        <v>1</v>
      </c>
      <c r="L37" s="629">
        <f t="shared" si="75"/>
        <v>1</v>
      </c>
      <c r="M37" s="630">
        <f t="shared" si="75"/>
        <v>1</v>
      </c>
      <c r="N37" s="622">
        <f t="shared" si="28"/>
        <v>8521.0469518864611</v>
      </c>
      <c r="O37" s="623">
        <f t="shared" si="29"/>
        <v>55271.206650039851</v>
      </c>
      <c r="P37" s="623">
        <f t="shared" si="30"/>
        <v>55271.206650039851</v>
      </c>
      <c r="Q37" s="623">
        <f t="shared" si="31"/>
        <v>175637.84990936503</v>
      </c>
      <c r="R37" s="623">
        <f t="shared" si="32"/>
        <v>183314.04862651505</v>
      </c>
      <c r="S37" s="624">
        <f t="shared" si="33"/>
        <v>55271.206650039851</v>
      </c>
      <c r="T37" s="582">
        <f t="shared" si="61"/>
        <v>-46750.159698153388</v>
      </c>
      <c r="U37" s="466">
        <f t="shared" si="62"/>
        <v>-46750.159698153388</v>
      </c>
      <c r="V37" s="466">
        <f t="shared" si="63"/>
        <v>-167116.80295747856</v>
      </c>
      <c r="W37" s="466">
        <f t="shared" si="64"/>
        <v>-174793.00167462858</v>
      </c>
      <c r="X37" s="467">
        <f t="shared" si="65"/>
        <v>-46750.159698153388</v>
      </c>
      <c r="Y37" s="468">
        <f ca="1">IF(AND(Y$22=TRUE,INDEX(CDRANGE_CLS1,MATCH($A37,$A$24:$A$67,0),MATCH(Y$20,$B$20:$G$20,0))&lt;$D$6/OPDAYS_Cls1),86,payback(C37,T37,disc_rate/12,85))</f>
        <v>86</v>
      </c>
      <c r="Z37" s="469">
        <f ca="1">IF(AND(Z$22=TRUE,INDEX(CDRANGE_CLS1,MATCH($A37,$A$24:$A$67,0),MATCH(Z$20,$B$20:$G$20,0))&lt;$D$6/OPDAYS_Cls1),86,payback(D37,U37,disc_rate/12,85))</f>
        <v>86</v>
      </c>
      <c r="AA37" s="469">
        <f>IF(AND(AA$22=TRUE,INDEX(CDRANGE_CLS1,MATCH($A37,$A$24:$A$67,0),MATCH(AA$20,$B$20:$G$20,0))&lt;$D$6/OPDAYS_Cls1),86,payback(E37,V37,disc_rate/12,85))</f>
        <v>86</v>
      </c>
      <c r="AB37" s="469">
        <f ca="1">IF(AND(AB$22=TRUE,INDEX(CDRANGE_CLS1,MATCH($A37,$A$24:$A$67,0),MATCH(AB$20,$B$20:$G$20,0))&lt;$D$6/OPDAYS_Cls1),86,payback(F37,W37,disc_rate/12,85))</f>
        <v>86</v>
      </c>
      <c r="AC37" s="470">
        <f ca="1">IF(AND(AC$22=TRUE,INDEX(CDRANGE_CLS1,MATCH($A37,$A$24:$A$67,0),MATCH(AC$20,$B$20:$G$20,0))&lt;$D$6/OPDAYS_Cls1),86,payback(G37,X37,disc_rate/12,85))</f>
        <v>86</v>
      </c>
      <c r="AD37" s="471">
        <f t="shared" si="35"/>
        <v>0</v>
      </c>
      <c r="AE37" s="472">
        <f t="shared" si="36"/>
        <v>0</v>
      </c>
      <c r="AF37" s="472">
        <f t="shared" si="37"/>
        <v>0</v>
      </c>
      <c r="AG37" s="472">
        <f t="shared" si="38"/>
        <v>0</v>
      </c>
      <c r="AH37" s="473">
        <f t="shared" si="39"/>
        <v>0</v>
      </c>
      <c r="AI37" s="998">
        <f t="shared" si="40"/>
        <v>0</v>
      </c>
      <c r="AJ37" s="999">
        <f t="shared" si="41"/>
        <v>0</v>
      </c>
      <c r="AK37" s="999">
        <f t="shared" si="42"/>
        <v>0</v>
      </c>
      <c r="AL37" s="999">
        <f t="shared" si="43"/>
        <v>0</v>
      </c>
      <c r="AM37" s="1000">
        <f t="shared" si="44"/>
        <v>0</v>
      </c>
      <c r="AN37" s="477">
        <f t="shared" si="66"/>
        <v>0</v>
      </c>
      <c r="AO37" s="475">
        <f t="shared" si="67"/>
        <v>0</v>
      </c>
      <c r="AP37" s="475">
        <f t="shared" si="68"/>
        <v>0</v>
      </c>
      <c r="AQ37" s="475">
        <f t="shared" si="69"/>
        <v>0</v>
      </c>
      <c r="AR37" s="476">
        <f t="shared" si="70"/>
        <v>0</v>
      </c>
      <c r="AS37" s="471">
        <f t="shared" ca="1" si="46"/>
        <v>0</v>
      </c>
      <c r="AT37" s="472">
        <f t="shared" ca="1" si="47"/>
        <v>0</v>
      </c>
      <c r="AU37" s="472">
        <f t="shared" si="48"/>
        <v>0</v>
      </c>
      <c r="AV37" s="472">
        <f t="shared" ca="1" si="49"/>
        <v>0</v>
      </c>
      <c r="AW37" s="473">
        <f t="shared" ca="1" si="50"/>
        <v>0</v>
      </c>
      <c r="AX37" s="471">
        <f t="shared" ca="1" si="51"/>
        <v>0</v>
      </c>
      <c r="AY37" s="472">
        <f t="shared" ca="1" si="52"/>
        <v>0</v>
      </c>
      <c r="AZ37" s="472">
        <f t="shared" si="53"/>
        <v>0</v>
      </c>
      <c r="BA37" s="472">
        <f t="shared" ca="1" si="71"/>
        <v>0</v>
      </c>
      <c r="BB37" s="473">
        <f t="shared" ca="1" si="72"/>
        <v>0</v>
      </c>
      <c r="BC37" s="471">
        <f t="shared" ca="1" si="73"/>
        <v>1</v>
      </c>
      <c r="BD37" s="472">
        <f t="shared" ca="1" si="56"/>
        <v>0</v>
      </c>
      <c r="BE37" s="472">
        <f t="shared" ca="1" si="57"/>
        <v>0</v>
      </c>
      <c r="BF37" s="472">
        <f t="shared" ca="1" si="58"/>
        <v>0</v>
      </c>
      <c r="BG37" s="472">
        <f t="shared" ca="1" si="59"/>
        <v>0</v>
      </c>
      <c r="BH37" s="473">
        <f t="shared" ca="1" si="60"/>
        <v>0</v>
      </c>
    </row>
    <row r="38" spans="1:62" x14ac:dyDescent="0.2">
      <c r="A38" s="190">
        <v>2021</v>
      </c>
      <c r="B38" s="664">
        <f t="shared" si="74"/>
        <v>151412</v>
      </c>
      <c r="C38" s="665">
        <f t="shared" si="74"/>
        <v>0</v>
      </c>
      <c r="D38" s="665">
        <f t="shared" si="74"/>
        <v>9699</v>
      </c>
      <c r="E38" s="665">
        <f t="shared" si="74"/>
        <v>740658</v>
      </c>
      <c r="F38" s="665">
        <f t="shared" si="74"/>
        <v>206108</v>
      </c>
      <c r="G38" s="666">
        <f t="shared" si="74"/>
        <v>407882</v>
      </c>
      <c r="H38" s="628">
        <f t="shared" si="75"/>
        <v>1</v>
      </c>
      <c r="I38" s="629">
        <f t="shared" si="75"/>
        <v>1</v>
      </c>
      <c r="J38" s="629">
        <f t="shared" si="75"/>
        <v>1</v>
      </c>
      <c r="K38" s="629">
        <f t="shared" si="75"/>
        <v>1</v>
      </c>
      <c r="L38" s="629">
        <f t="shared" si="75"/>
        <v>1</v>
      </c>
      <c r="M38" s="630">
        <f t="shared" si="75"/>
        <v>0.73401438473167846</v>
      </c>
      <c r="N38" s="478">
        <f t="shared" si="28"/>
        <v>8562.6343620798889</v>
      </c>
      <c r="O38" s="479">
        <f t="shared" si="29"/>
        <v>8527.676222492375</v>
      </c>
      <c r="P38" s="479">
        <f t="shared" si="30"/>
        <v>8004.4066794530281</v>
      </c>
      <c r="Q38" s="479">
        <f t="shared" si="31"/>
        <v>13166.579660461577</v>
      </c>
      <c r="R38" s="479">
        <f t="shared" si="32"/>
        <v>20251.480612130701</v>
      </c>
      <c r="S38" s="592">
        <f t="shared" si="33"/>
        <v>9884.5551434251665</v>
      </c>
      <c r="T38" s="583">
        <f t="shared" si="61"/>
        <v>34.95813958751387</v>
      </c>
      <c r="U38" s="479">
        <f t="shared" si="62"/>
        <v>558.22768262686077</v>
      </c>
      <c r="V38" s="479">
        <f t="shared" si="63"/>
        <v>-4603.9452983816882</v>
      </c>
      <c r="W38" s="479">
        <f t="shared" si="64"/>
        <v>-11688.846250050812</v>
      </c>
      <c r="X38" s="480">
        <f t="shared" si="65"/>
        <v>-1321.9207813452776</v>
      </c>
      <c r="Y38" s="481">
        <f ca="1">IF(AND(Y$22=TRUE,INDEX(CDRANGE_CLS1,MATCH($A38,$A$24:$A$67,0),MATCH(Y$20,$B$20:$G$20,0))&lt;$D$6/OPDAYS_Cls1),86,payback(C38,T38,disc_rate/12,85))</f>
        <v>1</v>
      </c>
      <c r="Z38" s="482">
        <f ca="1">IF(AND(Z$22=TRUE,INDEX(CDRANGE_CLS1,MATCH($A38,$A$24:$A$67,0),MATCH(Z$20,$B$20:$G$20,0))&lt;$D$6/OPDAYS_Cls1),86,payback(D38,U38,disc_rate/12,85))</f>
        <v>19</v>
      </c>
      <c r="AA38" s="482">
        <f>IF(AND(AA$22=TRUE,INDEX(CDRANGE_CLS1,MATCH($A38,$A$24:$A$67,0),MATCH(AA$20,$B$20:$G$20,0))&lt;$D$6/OPDAYS_Cls1),86,payback(E38,V38,disc_rate/12,85))</f>
        <v>86</v>
      </c>
      <c r="AB38" s="482">
        <f ca="1">IF(AND(AB$22=TRUE,INDEX(CDRANGE_CLS1,MATCH($A38,$A$24:$A$67,0),MATCH(AB$20,$B$20:$G$20,0))&lt;$D$6/OPDAYS_Cls1),86,payback(F38,W38,disc_rate/12,85))</f>
        <v>86</v>
      </c>
      <c r="AC38" s="483">
        <f ca="1">IF(AND(AC$22=TRUE,INDEX(CDRANGE_CLS1,MATCH($A38,$A$24:$A$67,0),MATCH(AC$20,$B$20:$G$20,0))&lt;$D$6/OPDAYS_Cls1),86,payback(G38,X38,disc_rate/12,85))</f>
        <v>86</v>
      </c>
      <c r="AD38" s="484">
        <f t="shared" si="35"/>
        <v>0</v>
      </c>
      <c r="AE38" s="485">
        <f t="shared" si="36"/>
        <v>0</v>
      </c>
      <c r="AF38" s="485">
        <f t="shared" si="37"/>
        <v>0</v>
      </c>
      <c r="AG38" s="485">
        <f t="shared" si="38"/>
        <v>0</v>
      </c>
      <c r="AH38" s="486">
        <f t="shared" si="39"/>
        <v>0</v>
      </c>
      <c r="AI38" s="992">
        <f t="shared" si="40"/>
        <v>0</v>
      </c>
      <c r="AJ38" s="993">
        <f t="shared" si="41"/>
        <v>0</v>
      </c>
      <c r="AK38" s="993">
        <f t="shared" si="42"/>
        <v>0</v>
      </c>
      <c r="AL38" s="993">
        <f t="shared" si="43"/>
        <v>0</v>
      </c>
      <c r="AM38" s="994">
        <f t="shared" si="44"/>
        <v>0</v>
      </c>
      <c r="AN38" s="490">
        <f t="shared" si="66"/>
        <v>1</v>
      </c>
      <c r="AO38" s="488">
        <f t="shared" si="67"/>
        <v>0.98866665472335957</v>
      </c>
      <c r="AP38" s="488">
        <f t="shared" si="68"/>
        <v>0</v>
      </c>
      <c r="AQ38" s="488">
        <f t="shared" si="69"/>
        <v>5.8159717410244394E-3</v>
      </c>
      <c r="AR38" s="489">
        <f t="shared" si="70"/>
        <v>1.7600343404922114E-9</v>
      </c>
      <c r="AS38" s="484">
        <f t="shared" ca="1" si="46"/>
        <v>0</v>
      </c>
      <c r="AT38" s="485">
        <f t="shared" ca="1" si="47"/>
        <v>0</v>
      </c>
      <c r="AU38" s="485">
        <f t="shared" si="48"/>
        <v>0</v>
      </c>
      <c r="AV38" s="485">
        <f t="shared" ca="1" si="49"/>
        <v>0</v>
      </c>
      <c r="AW38" s="486">
        <f t="shared" ca="1" si="50"/>
        <v>0</v>
      </c>
      <c r="AX38" s="484">
        <f t="shared" ca="1" si="51"/>
        <v>0</v>
      </c>
      <c r="AY38" s="485">
        <f t="shared" ca="1" si="52"/>
        <v>0</v>
      </c>
      <c r="AZ38" s="485">
        <f t="shared" si="53"/>
        <v>0</v>
      </c>
      <c r="BA38" s="485">
        <f t="shared" ca="1" si="71"/>
        <v>0</v>
      </c>
      <c r="BB38" s="486">
        <f t="shared" ca="1" si="72"/>
        <v>0</v>
      </c>
      <c r="BC38" s="484">
        <f t="shared" ca="1" si="73"/>
        <v>1</v>
      </c>
      <c r="BD38" s="485">
        <f t="shared" ca="1" si="56"/>
        <v>0</v>
      </c>
      <c r="BE38" s="485">
        <f t="shared" ca="1" si="57"/>
        <v>0</v>
      </c>
      <c r="BF38" s="485">
        <f t="shared" ca="1" si="58"/>
        <v>0</v>
      </c>
      <c r="BG38" s="485">
        <f t="shared" ca="1" si="59"/>
        <v>0</v>
      </c>
      <c r="BH38" s="486">
        <f t="shared" ca="1" si="60"/>
        <v>0</v>
      </c>
    </row>
    <row r="39" spans="1:62" x14ac:dyDescent="0.2">
      <c r="A39" s="189">
        <v>2022</v>
      </c>
      <c r="B39" s="667">
        <f t="shared" si="74"/>
        <v>152694.04999999999</v>
      </c>
      <c r="C39" s="668">
        <f t="shared" si="74"/>
        <v>353.64</v>
      </c>
      <c r="D39" s="668">
        <f t="shared" si="74"/>
        <v>9602.08</v>
      </c>
      <c r="E39" s="668">
        <f t="shared" si="74"/>
        <v>690930.32</v>
      </c>
      <c r="F39" s="668">
        <f t="shared" si="74"/>
        <v>189027.18</v>
      </c>
      <c r="G39" s="669">
        <f t="shared" si="74"/>
        <v>375673.97</v>
      </c>
      <c r="H39" s="628">
        <f t="shared" si="75"/>
        <v>1</v>
      </c>
      <c r="I39" s="629">
        <f t="shared" si="75"/>
        <v>1</v>
      </c>
      <c r="J39" s="629">
        <f t="shared" si="75"/>
        <v>1</v>
      </c>
      <c r="K39" s="629">
        <f t="shared" si="75"/>
        <v>1</v>
      </c>
      <c r="L39" s="629">
        <f t="shared" si="75"/>
        <v>1</v>
      </c>
      <c r="M39" s="630">
        <f t="shared" si="75"/>
        <v>0.73617460881506869</v>
      </c>
      <c r="N39" s="147">
        <f t="shared" si="28"/>
        <v>8526.2884062467092</v>
      </c>
      <c r="O39" s="148">
        <f t="shared" si="29"/>
        <v>8404.3534985534461</v>
      </c>
      <c r="P39" s="148">
        <f t="shared" si="30"/>
        <v>7872.7524805417997</v>
      </c>
      <c r="Q39" s="148">
        <f t="shared" si="31"/>
        <v>13063.064688091321</v>
      </c>
      <c r="R39" s="148">
        <f t="shared" si="32"/>
        <v>18643.775160415771</v>
      </c>
      <c r="S39" s="150">
        <f t="shared" si="33"/>
        <v>9696.2119716481393</v>
      </c>
      <c r="T39" s="581">
        <f t="shared" si="61"/>
        <v>121.93490769326309</v>
      </c>
      <c r="U39" s="162">
        <f t="shared" si="62"/>
        <v>653.53592570490946</v>
      </c>
      <c r="V39" s="162">
        <f t="shared" si="63"/>
        <v>-4536.7762818446117</v>
      </c>
      <c r="W39" s="162">
        <f t="shared" si="64"/>
        <v>-10117.486754169062</v>
      </c>
      <c r="X39" s="163">
        <f t="shared" si="65"/>
        <v>-1169.9235654014301</v>
      </c>
      <c r="Y39" s="165">
        <f ca="1">IF(AND(Y$22=TRUE,INDEX(CDRANGE_CLS1,MATCH($A39,$A$24:$A$67,0),MATCH(Y$20,$B$20:$G$20,0))&lt;$D$6/OPDAYS_Cls1),86,payback(C39,T39,disc_rate/12,85))</f>
        <v>3</v>
      </c>
      <c r="Z39" s="166">
        <f ca="1">IF(AND(Z$22=TRUE,INDEX(CDRANGE_CLS1,MATCH($A39,$A$24:$A$67,0),MATCH(Z$20,$B$20:$G$20,0))&lt;$D$6/OPDAYS_Cls1),86,payback(D39,U39,disc_rate/12,85))</f>
        <v>16</v>
      </c>
      <c r="AA39" s="166">
        <f>IF(AND(AA$22=TRUE,INDEX(CDRANGE_CLS1,MATCH($A39,$A$24:$A$67,0),MATCH(AA$20,$B$20:$G$20,0))&lt;$D$6/OPDAYS_Cls1),86,payback(E39,V39,disc_rate/12,85))</f>
        <v>86</v>
      </c>
      <c r="AB39" s="166">
        <f ca="1">IF(AND(AB$22=TRUE,INDEX(CDRANGE_CLS1,MATCH($A39,$A$24:$A$67,0),MATCH(AB$20,$B$20:$G$20,0))&lt;$D$6/OPDAYS_Cls1),86,payback(F39,W39,disc_rate/12,85))</f>
        <v>86</v>
      </c>
      <c r="AC39" s="439">
        <f ca="1">IF(AND(AC$22=TRUE,INDEX(CDRANGE_CLS1,MATCH($A39,$A$24:$A$67,0),MATCH(AC$20,$B$20:$G$20,0))&lt;$D$6/OPDAYS_Cls1),86,payback(G39,X39,disc_rate/12,85))</f>
        <v>86</v>
      </c>
      <c r="AD39" s="168">
        <f t="shared" si="35"/>
        <v>0</v>
      </c>
      <c r="AE39" s="169">
        <f t="shared" si="36"/>
        <v>0</v>
      </c>
      <c r="AF39" s="169">
        <f t="shared" si="37"/>
        <v>0</v>
      </c>
      <c r="AG39" s="169">
        <f t="shared" si="38"/>
        <v>0</v>
      </c>
      <c r="AH39" s="170">
        <f t="shared" si="39"/>
        <v>0</v>
      </c>
      <c r="AI39" s="986">
        <f t="shared" si="40"/>
        <v>0</v>
      </c>
      <c r="AJ39" s="987">
        <f t="shared" si="41"/>
        <v>0</v>
      </c>
      <c r="AK39" s="987">
        <f t="shared" si="42"/>
        <v>0</v>
      </c>
      <c r="AL39" s="987">
        <f t="shared" si="43"/>
        <v>0</v>
      </c>
      <c r="AM39" s="995">
        <f t="shared" si="44"/>
        <v>0</v>
      </c>
      <c r="AN39" s="171">
        <f t="shared" si="66"/>
        <v>0.99998510046210898</v>
      </c>
      <c r="AO39" s="172">
        <f t="shared" si="67"/>
        <v>0.98907551883419809</v>
      </c>
      <c r="AP39" s="172">
        <f t="shared" si="68"/>
        <v>0</v>
      </c>
      <c r="AQ39" s="172">
        <f t="shared" si="69"/>
        <v>1.4164992411433985E-2</v>
      </c>
      <c r="AR39" s="445">
        <f t="shared" si="70"/>
        <v>4.9853768224750183E-8</v>
      </c>
      <c r="AS39" s="168">
        <f t="shared" ca="1" si="46"/>
        <v>0</v>
      </c>
      <c r="AT39" s="169">
        <f t="shared" ca="1" si="47"/>
        <v>0</v>
      </c>
      <c r="AU39" s="169">
        <f t="shared" si="48"/>
        <v>0</v>
      </c>
      <c r="AV39" s="169">
        <f t="shared" ca="1" si="49"/>
        <v>0</v>
      </c>
      <c r="AW39" s="170">
        <f t="shared" ca="1" si="50"/>
        <v>0</v>
      </c>
      <c r="AX39" s="168">
        <f t="shared" ca="1" si="51"/>
        <v>0</v>
      </c>
      <c r="AY39" s="169">
        <f t="shared" ca="1" si="52"/>
        <v>0</v>
      </c>
      <c r="AZ39" s="169">
        <f t="shared" si="53"/>
        <v>0</v>
      </c>
      <c r="BA39" s="169">
        <f t="shared" ca="1" si="71"/>
        <v>0</v>
      </c>
      <c r="BB39" s="170">
        <f t="shared" ca="1" si="72"/>
        <v>0</v>
      </c>
      <c r="BC39" s="168">
        <f t="shared" ca="1" si="73"/>
        <v>1</v>
      </c>
      <c r="BD39" s="169">
        <f t="shared" ca="1" si="56"/>
        <v>0</v>
      </c>
      <c r="BE39" s="169">
        <f t="shared" ca="1" si="57"/>
        <v>0</v>
      </c>
      <c r="BF39" s="169">
        <f t="shared" ca="1" si="58"/>
        <v>0</v>
      </c>
      <c r="BG39" s="169">
        <f t="shared" ca="1" si="59"/>
        <v>0</v>
      </c>
      <c r="BH39" s="170">
        <f t="shared" ca="1" si="60"/>
        <v>0</v>
      </c>
      <c r="BI39" s="99" t="e">
        <f ca="1">(AK39*AZ39/SUMPRODUCT($AI39:$AM39,$AX39:$BB39))</f>
        <v>#DIV/0!</v>
      </c>
    </row>
    <row r="40" spans="1:62" x14ac:dyDescent="0.2">
      <c r="A40" s="189">
        <v>2023</v>
      </c>
      <c r="B40" s="667">
        <f t="shared" si="74"/>
        <v>153887.62</v>
      </c>
      <c r="C40" s="668">
        <f t="shared" si="74"/>
        <v>633.5</v>
      </c>
      <c r="D40" s="668">
        <f t="shared" si="74"/>
        <v>9525.3700000000008</v>
      </c>
      <c r="E40" s="668">
        <f t="shared" si="74"/>
        <v>651576.01</v>
      </c>
      <c r="F40" s="668">
        <f t="shared" si="74"/>
        <v>175509.49</v>
      </c>
      <c r="G40" s="669">
        <f t="shared" si="74"/>
        <v>350184.64</v>
      </c>
      <c r="H40" s="628">
        <f t="shared" si="75"/>
        <v>1</v>
      </c>
      <c r="I40" s="629">
        <f t="shared" si="75"/>
        <v>1</v>
      </c>
      <c r="J40" s="629">
        <f t="shared" si="75"/>
        <v>1</v>
      </c>
      <c r="K40" s="629">
        <f t="shared" si="75"/>
        <v>1</v>
      </c>
      <c r="L40" s="629">
        <f t="shared" si="75"/>
        <v>1</v>
      </c>
      <c r="M40" s="630">
        <f t="shared" si="75"/>
        <v>0.73788420279601796</v>
      </c>
      <c r="N40" s="147">
        <f t="shared" si="28"/>
        <v>8421.5311677094905</v>
      </c>
      <c r="O40" s="148">
        <f t="shared" si="29"/>
        <v>8258.724435324224</v>
      </c>
      <c r="P40" s="148">
        <f t="shared" si="30"/>
        <v>7724.6540079531087</v>
      </c>
      <c r="Q40" s="148">
        <f t="shared" si="31"/>
        <v>13069.676914043554</v>
      </c>
      <c r="R40" s="148">
        <f t="shared" si="32"/>
        <v>17203.534946902677</v>
      </c>
      <c r="S40" s="150">
        <f t="shared" si="33"/>
        <v>9537.6425377602791</v>
      </c>
      <c r="T40" s="581">
        <f t="shared" si="61"/>
        <v>162.80673238526651</v>
      </c>
      <c r="U40" s="162">
        <f t="shared" si="62"/>
        <v>696.87715975638184</v>
      </c>
      <c r="V40" s="162">
        <f t="shared" si="63"/>
        <v>-4648.145746334063</v>
      </c>
      <c r="W40" s="162">
        <f t="shared" si="64"/>
        <v>-8782.0037791931863</v>
      </c>
      <c r="X40" s="163">
        <f t="shared" si="65"/>
        <v>-1116.1113700507885</v>
      </c>
      <c r="Y40" s="165">
        <f ca="1">IF(AND(Y$22=TRUE,INDEX(CDRANGE_CLS1,MATCH($A40,$A$24:$A$67,0),MATCH(Y$20,$B$20:$G$20,0))&lt;$D$6/OPDAYS_Cls1),86,payback(C40,T40,disc_rate/12,85))</f>
        <v>4</v>
      </c>
      <c r="Z40" s="166">
        <f ca="1">IF(AND(Z$22=TRUE,INDEX(CDRANGE_CLS1,MATCH($A40,$A$24:$A$67,0),MATCH(Z$20,$B$20:$G$20,0))&lt;$D$6/OPDAYS_Cls1),86,payback(D40,U40,disc_rate/12,85))</f>
        <v>15</v>
      </c>
      <c r="AA40" s="166">
        <f>IF(AND(AA$22=TRUE,INDEX(CDRANGE_CLS1,MATCH($A40,$A$24:$A$67,0),MATCH(AA$20,$B$20:$G$20,0))&lt;$D$6/OPDAYS_Cls1),86,payback(E40,V40,disc_rate/12,85))</f>
        <v>86</v>
      </c>
      <c r="AB40" s="166">
        <f ca="1">IF(AND(AB$22=TRUE,INDEX(CDRANGE_CLS1,MATCH($A40,$A$24:$A$67,0),MATCH(AB$20,$B$20:$G$20,0))&lt;$D$6/OPDAYS_Cls1),86,payback(F40,W40,disc_rate/12,85))</f>
        <v>86</v>
      </c>
      <c r="AC40" s="439">
        <f ca="1">IF(AND(AC$22=TRUE,INDEX(CDRANGE_CLS1,MATCH($A40,$A$24:$A$67,0),MATCH(AC$20,$B$20:$G$20,0))&lt;$D$6/OPDAYS_Cls1),86,payback(G40,X40,disc_rate/12,85))</f>
        <v>86</v>
      </c>
      <c r="AD40" s="168">
        <f t="shared" si="35"/>
        <v>0</v>
      </c>
      <c r="AE40" s="169">
        <f t="shared" si="36"/>
        <v>0</v>
      </c>
      <c r="AF40" s="169">
        <f t="shared" si="37"/>
        <v>0</v>
      </c>
      <c r="AG40" s="169">
        <f t="shared" si="38"/>
        <v>0</v>
      </c>
      <c r="AH40" s="170">
        <f t="shared" si="39"/>
        <v>0</v>
      </c>
      <c r="AI40" s="986">
        <f t="shared" si="40"/>
        <v>0</v>
      </c>
      <c r="AJ40" s="987">
        <f t="shared" si="41"/>
        <v>0</v>
      </c>
      <c r="AK40" s="987">
        <f t="shared" si="42"/>
        <v>0</v>
      </c>
      <c r="AL40" s="987">
        <f t="shared" si="43"/>
        <v>0</v>
      </c>
      <c r="AM40" s="995">
        <f t="shared" si="44"/>
        <v>0</v>
      </c>
      <c r="AN40" s="171">
        <f t="shared" si="66"/>
        <v>0.99995292686206405</v>
      </c>
      <c r="AO40" s="172">
        <f t="shared" si="67"/>
        <v>0.98941368413988273</v>
      </c>
      <c r="AP40" s="172">
        <f t="shared" si="68"/>
        <v>0</v>
      </c>
      <c r="AQ40" s="172">
        <f t="shared" si="69"/>
        <v>2.6965567337553953E-2</v>
      </c>
      <c r="AR40" s="445">
        <f t="shared" si="70"/>
        <v>5.662932212047167E-7</v>
      </c>
      <c r="AS40" s="168">
        <f t="shared" ca="1" si="46"/>
        <v>0</v>
      </c>
      <c r="AT40" s="169">
        <f t="shared" ca="1" si="47"/>
        <v>0</v>
      </c>
      <c r="AU40" s="169">
        <f t="shared" si="48"/>
        <v>0</v>
      </c>
      <c r="AV40" s="169">
        <f t="shared" ca="1" si="49"/>
        <v>0</v>
      </c>
      <c r="AW40" s="170">
        <f t="shared" ca="1" si="50"/>
        <v>0</v>
      </c>
      <c r="AX40" s="168">
        <f t="shared" ca="1" si="51"/>
        <v>0</v>
      </c>
      <c r="AY40" s="169">
        <f t="shared" ca="1" si="52"/>
        <v>0</v>
      </c>
      <c r="AZ40" s="169">
        <f t="shared" si="53"/>
        <v>0</v>
      </c>
      <c r="BA40" s="169">
        <f t="shared" ca="1" si="71"/>
        <v>0</v>
      </c>
      <c r="BB40" s="170">
        <f t="shared" ca="1" si="72"/>
        <v>0</v>
      </c>
      <c r="BC40" s="168">
        <f t="shared" ca="1" si="73"/>
        <v>1</v>
      </c>
      <c r="BD40" s="169">
        <f t="shared" ca="1" si="56"/>
        <v>0</v>
      </c>
      <c r="BE40" s="169">
        <f t="shared" ca="1" si="57"/>
        <v>0</v>
      </c>
      <c r="BF40" s="169">
        <f t="shared" ca="1" si="58"/>
        <v>0</v>
      </c>
      <c r="BG40" s="169">
        <f t="shared" ca="1" si="59"/>
        <v>0</v>
      </c>
      <c r="BH40" s="170">
        <f t="shared" ca="1" si="60"/>
        <v>0</v>
      </c>
    </row>
    <row r="41" spans="1:62" x14ac:dyDescent="0.2">
      <c r="A41" s="189">
        <v>2024</v>
      </c>
      <c r="B41" s="667">
        <f t="shared" si="74"/>
        <v>155468.99</v>
      </c>
      <c r="C41" s="668">
        <f t="shared" si="74"/>
        <v>1000.33</v>
      </c>
      <c r="D41" s="668">
        <f t="shared" si="74"/>
        <v>9424.83</v>
      </c>
      <c r="E41" s="668">
        <f t="shared" si="74"/>
        <v>599992.82999999996</v>
      </c>
      <c r="F41" s="668">
        <f t="shared" si="74"/>
        <v>157791.32999999999</v>
      </c>
      <c r="G41" s="669">
        <f t="shared" si="74"/>
        <v>316774.83</v>
      </c>
      <c r="H41" s="628">
        <f t="shared" si="75"/>
        <v>1</v>
      </c>
      <c r="I41" s="629">
        <f t="shared" si="75"/>
        <v>1</v>
      </c>
      <c r="J41" s="629">
        <f t="shared" si="75"/>
        <v>1</v>
      </c>
      <c r="K41" s="629">
        <f t="shared" si="75"/>
        <v>1</v>
      </c>
      <c r="L41" s="629">
        <f t="shared" si="75"/>
        <v>1</v>
      </c>
      <c r="M41" s="630">
        <f t="shared" si="75"/>
        <v>0.74012503165386045</v>
      </c>
      <c r="N41" s="147">
        <f t="shared" si="28"/>
        <v>8374.5029173644361</v>
      </c>
      <c r="O41" s="148">
        <f t="shared" si="29"/>
        <v>8162.245461701179</v>
      </c>
      <c r="P41" s="148">
        <f t="shared" si="30"/>
        <v>7620.10952798158</v>
      </c>
      <c r="Q41" s="148">
        <f t="shared" si="31"/>
        <v>12998.946827110996</v>
      </c>
      <c r="R41" s="148">
        <f t="shared" si="32"/>
        <v>15724.778109109002</v>
      </c>
      <c r="S41" s="150">
        <f t="shared" si="33"/>
        <v>9384.4570108037879</v>
      </c>
      <c r="T41" s="581">
        <f t="shared" si="61"/>
        <v>212.25745566325713</v>
      </c>
      <c r="U41" s="162">
        <f t="shared" si="62"/>
        <v>754.39338938285618</v>
      </c>
      <c r="V41" s="162">
        <f t="shared" si="63"/>
        <v>-4624.4439097465602</v>
      </c>
      <c r="W41" s="162">
        <f t="shared" si="64"/>
        <v>-7350.2751917445657</v>
      </c>
      <c r="X41" s="163">
        <f t="shared" si="65"/>
        <v>-1009.9540934393517</v>
      </c>
      <c r="Y41" s="165">
        <f ca="1">IF(AND(Y$22=TRUE,INDEX(CDRANGE_CLS1,MATCH($A41,$A$24:$A$67,0),MATCH(Y$20,$B$20:$G$20,0))&lt;$D$6/OPDAYS_Cls1),86,payback(C41,T41,disc_rate/12,85))</f>
        <v>5</v>
      </c>
      <c r="Z41" s="166">
        <f ca="1">IF(AND(Z$22=TRUE,INDEX(CDRANGE_CLS1,MATCH($A41,$A$24:$A$67,0),MATCH(Z$20,$B$20:$G$20,0))&lt;$D$6/OPDAYS_Cls1),86,payback(D41,U41,disc_rate/12,85))</f>
        <v>14</v>
      </c>
      <c r="AA41" s="166">
        <f>IF(AND(AA$22=TRUE,INDEX(CDRANGE_CLS1,MATCH($A41,$A$24:$A$67,0),MATCH(AA$20,$B$20:$G$20,0))&lt;$D$6/OPDAYS_Cls1),86,payback(E41,V41,disc_rate/12,85))</f>
        <v>86</v>
      </c>
      <c r="AB41" s="166">
        <f ca="1">IF(AND(AB$22=TRUE,INDEX(CDRANGE_CLS1,MATCH($A41,$A$24:$A$67,0),MATCH(AB$20,$B$20:$G$20,0))&lt;$D$6/OPDAYS_Cls1),86,payback(F41,W41,disc_rate/12,85))</f>
        <v>86</v>
      </c>
      <c r="AC41" s="439">
        <f ca="1">IF(AND(AC$22=TRUE,INDEX(CDRANGE_CLS1,MATCH($A41,$A$24:$A$67,0),MATCH(AC$20,$B$20:$G$20,0))&lt;$D$6/OPDAYS_Cls1),86,payback(G41,X41,disc_rate/12,85))</f>
        <v>86</v>
      </c>
      <c r="AD41" s="168">
        <f t="shared" si="35"/>
        <v>0</v>
      </c>
      <c r="AE41" s="169">
        <f t="shared" si="36"/>
        <v>0</v>
      </c>
      <c r="AF41" s="169">
        <f t="shared" si="37"/>
        <v>0</v>
      </c>
      <c r="AG41" s="169">
        <f t="shared" si="38"/>
        <v>0</v>
      </c>
      <c r="AH41" s="170">
        <f t="shared" si="39"/>
        <v>0</v>
      </c>
      <c r="AI41" s="986">
        <f t="shared" si="40"/>
        <v>0</v>
      </c>
      <c r="AJ41" s="987">
        <f t="shared" si="41"/>
        <v>0</v>
      </c>
      <c r="AK41" s="987">
        <f t="shared" si="42"/>
        <v>0</v>
      </c>
      <c r="AL41" s="987">
        <f t="shared" si="43"/>
        <v>0</v>
      </c>
      <c r="AM41" s="995">
        <f t="shared" si="44"/>
        <v>0</v>
      </c>
      <c r="AN41" s="171">
        <f t="shared" si="66"/>
        <v>0.99988500695867399</v>
      </c>
      <c r="AO41" s="172">
        <f t="shared" si="67"/>
        <v>0.98984354475848479</v>
      </c>
      <c r="AP41" s="172">
        <f t="shared" si="68"/>
        <v>0</v>
      </c>
      <c r="AQ41" s="172">
        <f t="shared" si="69"/>
        <v>5.7189527220025349E-2</v>
      </c>
      <c r="AR41" s="445">
        <f t="shared" si="70"/>
        <v>9.8093315440417328E-6</v>
      </c>
      <c r="AS41" s="168">
        <f t="shared" ca="1" si="46"/>
        <v>0</v>
      </c>
      <c r="AT41" s="169">
        <f t="shared" ca="1" si="47"/>
        <v>0</v>
      </c>
      <c r="AU41" s="169">
        <f t="shared" si="48"/>
        <v>0</v>
      </c>
      <c r="AV41" s="169">
        <f t="shared" ca="1" si="49"/>
        <v>0</v>
      </c>
      <c r="AW41" s="170">
        <f t="shared" ca="1" si="50"/>
        <v>0</v>
      </c>
      <c r="AX41" s="168">
        <f t="shared" ca="1" si="51"/>
        <v>0</v>
      </c>
      <c r="AY41" s="169">
        <f t="shared" ca="1" si="52"/>
        <v>0</v>
      </c>
      <c r="AZ41" s="169">
        <f t="shared" si="53"/>
        <v>0</v>
      </c>
      <c r="BA41" s="169">
        <f t="shared" ca="1" si="71"/>
        <v>0</v>
      </c>
      <c r="BB41" s="170">
        <f t="shared" ca="1" si="72"/>
        <v>0</v>
      </c>
      <c r="BC41" s="168">
        <f t="shared" ca="1" si="73"/>
        <v>1</v>
      </c>
      <c r="BD41" s="169">
        <f t="shared" ca="1" si="56"/>
        <v>0</v>
      </c>
      <c r="BE41" s="169">
        <f t="shared" ca="1" si="57"/>
        <v>0</v>
      </c>
      <c r="BF41" s="169">
        <f t="shared" ca="1" si="58"/>
        <v>0</v>
      </c>
      <c r="BG41" s="169">
        <f t="shared" ca="1" si="59"/>
        <v>0</v>
      </c>
      <c r="BH41" s="170">
        <f t="shared" ca="1" si="60"/>
        <v>0</v>
      </c>
    </row>
    <row r="42" spans="1:62" ht="13.5" thickBot="1" x14ac:dyDescent="0.25">
      <c r="A42" s="174">
        <v>2025</v>
      </c>
      <c r="B42" s="670">
        <f t="shared" si="74"/>
        <v>157278.04</v>
      </c>
      <c r="C42" s="671">
        <f t="shared" si="74"/>
        <v>1367.16</v>
      </c>
      <c r="D42" s="671">
        <f t="shared" si="74"/>
        <v>9324.2900000000009</v>
      </c>
      <c r="E42" s="671">
        <f t="shared" si="74"/>
        <v>548409.66</v>
      </c>
      <c r="F42" s="671">
        <f t="shared" si="74"/>
        <v>140073.18</v>
      </c>
      <c r="G42" s="672">
        <f t="shared" si="74"/>
        <v>283365.02</v>
      </c>
      <c r="H42" s="628">
        <f t="shared" si="75"/>
        <v>1</v>
      </c>
      <c r="I42" s="629">
        <f t="shared" si="75"/>
        <v>1</v>
      </c>
      <c r="J42" s="629">
        <f t="shared" si="75"/>
        <v>1</v>
      </c>
      <c r="K42" s="629">
        <f t="shared" si="75"/>
        <v>1</v>
      </c>
      <c r="L42" s="629">
        <f t="shared" si="75"/>
        <v>1</v>
      </c>
      <c r="M42" s="630">
        <f t="shared" si="75"/>
        <v>0.74236586051170295</v>
      </c>
      <c r="N42" s="625">
        <f t="shared" si="28"/>
        <v>8206.629165770395</v>
      </c>
      <c r="O42" s="626">
        <f t="shared" si="29"/>
        <v>7978.035714080308</v>
      </c>
      <c r="P42" s="626">
        <f t="shared" si="30"/>
        <v>7434.9942707671216</v>
      </c>
      <c r="Q42" s="626">
        <f t="shared" si="31"/>
        <v>13026.031600525537</v>
      </c>
      <c r="R42" s="626">
        <f t="shared" si="32"/>
        <v>14318.21300784595</v>
      </c>
      <c r="S42" s="627">
        <f t="shared" si="33"/>
        <v>9194.9060027371761</v>
      </c>
      <c r="T42" s="584">
        <f t="shared" si="61"/>
        <v>228.59345169008702</v>
      </c>
      <c r="U42" s="176">
        <f t="shared" si="62"/>
        <v>771.63489500327341</v>
      </c>
      <c r="V42" s="176">
        <f t="shared" si="63"/>
        <v>-4819.4024347551422</v>
      </c>
      <c r="W42" s="176">
        <f t="shared" si="64"/>
        <v>-6111.5838420755554</v>
      </c>
      <c r="X42" s="177">
        <f t="shared" si="65"/>
        <v>-988.27683696678105</v>
      </c>
      <c r="Y42" s="179">
        <f ca="1">IF(AND(Y$22=TRUE,INDEX(CDRANGE_CLS1,MATCH($A42,$A$24:$A$67,0),MATCH(Y$20,$B$20:$G$20,0))&lt;$D$6/OPDAYS_Cls1),86,payback(C42,T42,disc_rate/12,85))</f>
        <v>7</v>
      </c>
      <c r="Z42" s="180">
        <f ca="1">IF(AND(Z$22=TRUE,INDEX(CDRANGE_CLS1,MATCH($A42,$A$24:$A$67,0),MATCH(Z$20,$B$20:$G$20,0))&lt;$D$6/OPDAYS_Cls1),86,payback(D42,U42,disc_rate/12,85))</f>
        <v>13</v>
      </c>
      <c r="AA42" s="180">
        <f>IF(AND(AA$22=TRUE,INDEX(CDRANGE_CLS1,MATCH($A42,$A$24:$A$67,0),MATCH(AA$20,$B$20:$G$20,0))&lt;$D$6/OPDAYS_Cls1),86,payback(E42,V42,disc_rate/12,85))</f>
        <v>86</v>
      </c>
      <c r="AB42" s="180">
        <f ca="1">IF(AND(AB$22=TRUE,INDEX(CDRANGE_CLS1,MATCH($A42,$A$24:$A$67,0),MATCH(AB$20,$B$20:$G$20,0))&lt;$D$6/OPDAYS_Cls1),86,payback(F42,W42,disc_rate/12,85))</f>
        <v>86</v>
      </c>
      <c r="AC42" s="440">
        <f ca="1">IF(AND(AC$22=TRUE,INDEX(CDRANGE_CLS1,MATCH($A42,$A$24:$A$67,0),MATCH(AC$20,$B$20:$G$20,0))&lt;$D$6/OPDAYS_Cls1),86,payback(G42,X42,disc_rate/12,85))</f>
        <v>86</v>
      </c>
      <c r="AD42" s="182">
        <f t="shared" si="35"/>
        <v>0</v>
      </c>
      <c r="AE42" s="183">
        <f t="shared" si="36"/>
        <v>0</v>
      </c>
      <c r="AF42" s="183">
        <f t="shared" si="37"/>
        <v>0</v>
      </c>
      <c r="AG42" s="183">
        <f t="shared" si="38"/>
        <v>0</v>
      </c>
      <c r="AH42" s="184">
        <f t="shared" si="39"/>
        <v>0</v>
      </c>
      <c r="AI42" s="989">
        <f t="shared" si="40"/>
        <v>0</v>
      </c>
      <c r="AJ42" s="990">
        <f t="shared" si="41"/>
        <v>0</v>
      </c>
      <c r="AK42" s="990">
        <f t="shared" si="42"/>
        <v>0</v>
      </c>
      <c r="AL42" s="990">
        <f t="shared" si="43"/>
        <v>0</v>
      </c>
      <c r="AM42" s="996">
        <f t="shared" si="44"/>
        <v>0</v>
      </c>
      <c r="AN42" s="185">
        <f t="shared" si="66"/>
        <v>0.99979012803329514</v>
      </c>
      <c r="AO42" s="186">
        <f t="shared" si="67"/>
        <v>0.99028429014555708</v>
      </c>
      <c r="AP42" s="186">
        <f t="shared" si="68"/>
        <v>2.1094237467877974E-15</v>
      </c>
      <c r="AQ42" s="186">
        <f t="shared" si="69"/>
        <v>0.11043941903879073</v>
      </c>
      <c r="AR42" s="446">
        <f t="shared" si="70"/>
        <v>1.2135040820249188E-4</v>
      </c>
      <c r="AS42" s="182">
        <f t="shared" ca="1" si="46"/>
        <v>0</v>
      </c>
      <c r="AT42" s="183">
        <f t="shared" ca="1" si="47"/>
        <v>0</v>
      </c>
      <c r="AU42" s="183">
        <f t="shared" si="48"/>
        <v>0</v>
      </c>
      <c r="AV42" s="183">
        <f t="shared" ca="1" si="49"/>
        <v>0</v>
      </c>
      <c r="AW42" s="184">
        <f t="shared" ca="1" si="50"/>
        <v>0</v>
      </c>
      <c r="AX42" s="182">
        <f t="shared" ca="1" si="51"/>
        <v>0</v>
      </c>
      <c r="AY42" s="183">
        <f t="shared" ca="1" si="52"/>
        <v>0</v>
      </c>
      <c r="AZ42" s="183">
        <f t="shared" si="53"/>
        <v>0</v>
      </c>
      <c r="BA42" s="183">
        <f t="shared" ca="1" si="71"/>
        <v>0</v>
      </c>
      <c r="BB42" s="184">
        <f t="shared" ca="1" si="72"/>
        <v>0</v>
      </c>
      <c r="BC42" s="182">
        <f t="shared" ca="1" si="73"/>
        <v>1</v>
      </c>
      <c r="BD42" s="183">
        <f t="shared" ca="1" si="56"/>
        <v>0</v>
      </c>
      <c r="BE42" s="183">
        <f t="shared" ca="1" si="57"/>
        <v>0</v>
      </c>
      <c r="BF42" s="183">
        <f t="shared" ca="1" si="58"/>
        <v>0</v>
      </c>
      <c r="BG42" s="183">
        <f t="shared" ca="1" si="59"/>
        <v>0</v>
      </c>
      <c r="BH42" s="184">
        <f t="shared" ca="1" si="60"/>
        <v>0</v>
      </c>
      <c r="BJ42" s="387"/>
    </row>
    <row r="43" spans="1:62" x14ac:dyDescent="0.2">
      <c r="A43" s="188">
        <v>2026</v>
      </c>
      <c r="B43" s="673">
        <f t="shared" si="74"/>
        <v>159370.45000000001</v>
      </c>
      <c r="C43" s="674">
        <f t="shared" si="74"/>
        <v>1647.03</v>
      </c>
      <c r="D43" s="674">
        <f t="shared" si="74"/>
        <v>9247.59</v>
      </c>
      <c r="E43" s="674">
        <f t="shared" si="74"/>
        <v>509055.34</v>
      </c>
      <c r="F43" s="674">
        <f t="shared" si="74"/>
        <v>126555.48</v>
      </c>
      <c r="G43" s="675">
        <f t="shared" si="74"/>
        <v>257875.69</v>
      </c>
      <c r="H43" s="628">
        <f t="shared" si="75"/>
        <v>1</v>
      </c>
      <c r="I43" s="629">
        <f t="shared" si="75"/>
        <v>1</v>
      </c>
      <c r="J43" s="629">
        <f t="shared" si="75"/>
        <v>1</v>
      </c>
      <c r="K43" s="629">
        <f t="shared" si="75"/>
        <v>1</v>
      </c>
      <c r="L43" s="629">
        <f t="shared" si="75"/>
        <v>1</v>
      </c>
      <c r="M43" s="630">
        <f t="shared" si="75"/>
        <v>0.74407545449265222</v>
      </c>
      <c r="N43" s="147">
        <f t="shared" si="28"/>
        <v>8114.424829526849</v>
      </c>
      <c r="O43" s="148">
        <f t="shared" si="29"/>
        <v>7952.2182732606952</v>
      </c>
      <c r="P43" s="148">
        <f t="shared" si="30"/>
        <v>7401.4591062442141</v>
      </c>
      <c r="Q43" s="148">
        <f t="shared" si="31"/>
        <v>13062.277346700112</v>
      </c>
      <c r="R43" s="148">
        <f t="shared" si="32"/>
        <v>13815.475075192402</v>
      </c>
      <c r="S43" s="150">
        <f t="shared" si="33"/>
        <v>9141.7887340743018</v>
      </c>
      <c r="T43" s="580">
        <f t="shared" si="61"/>
        <v>162.20655626615371</v>
      </c>
      <c r="U43" s="148">
        <f t="shared" si="62"/>
        <v>712.96572328263483</v>
      </c>
      <c r="V43" s="148">
        <f t="shared" si="63"/>
        <v>-4947.8525171732626</v>
      </c>
      <c r="W43" s="148">
        <f t="shared" si="64"/>
        <v>-5701.0502456655531</v>
      </c>
      <c r="X43" s="149">
        <f t="shared" si="65"/>
        <v>-1027.3639045474529</v>
      </c>
      <c r="Y43" s="151">
        <f ca="1">IF(AND(Y$22=TRUE,INDEX(CDRANGE_CLS1,MATCH($A43,$A$24:$A$67,0),MATCH(Y$20,$B$20:$G$20,0))&lt;$D$6/OPDAYS_Cls1),86,payback(C43,T43,disc_rate/12,85))</f>
        <v>11</v>
      </c>
      <c r="Z43" s="152">
        <f ca="1">IF(AND(Z$22=TRUE,INDEX(CDRANGE_CLS1,MATCH($A43,$A$24:$A$67,0),MATCH(Z$20,$B$20:$G$20,0))&lt;$D$6/OPDAYS_Cls1),86,payback(D43,U43,disc_rate/12,85))</f>
        <v>14</v>
      </c>
      <c r="AA43" s="152">
        <f>IF(AND(AA$22=TRUE,INDEX(CDRANGE_CLS1,MATCH($A43,$A$24:$A$67,0),MATCH(AA$20,$B$20:$G$20,0))&lt;$D$6/OPDAYS_Cls1),86,payback(E43,V43,disc_rate/12,85))</f>
        <v>86</v>
      </c>
      <c r="AB43" s="152">
        <f ca="1">IF(AND(AB$22=TRUE,INDEX(CDRANGE_CLS1,MATCH($A43,$A$24:$A$67,0),MATCH(AB$20,$B$20:$G$20,0))&lt;$D$6/OPDAYS_Cls1),86,payback(F43,W43,disc_rate/12,85))</f>
        <v>86</v>
      </c>
      <c r="AC43" s="457">
        <f ca="1">IF(AND(AC$22=TRUE,INDEX(CDRANGE_CLS1,MATCH($A43,$A$24:$A$67,0),MATCH(AC$20,$B$20:$G$20,0))&lt;$D$6/OPDAYS_Cls1),86,payback(G43,X43,disc_rate/12,85))</f>
        <v>86</v>
      </c>
      <c r="AD43" s="154">
        <f t="shared" si="35"/>
        <v>0</v>
      </c>
      <c r="AE43" s="155">
        <f t="shared" si="36"/>
        <v>0</v>
      </c>
      <c r="AF43" s="155">
        <f t="shared" si="37"/>
        <v>0</v>
      </c>
      <c r="AG43" s="155">
        <f t="shared" si="38"/>
        <v>0</v>
      </c>
      <c r="AH43" s="156">
        <f t="shared" si="39"/>
        <v>0</v>
      </c>
      <c r="AI43" s="983">
        <f t="shared" si="40"/>
        <v>2.3712936588783391E-2</v>
      </c>
      <c r="AJ43" s="984">
        <f t="shared" si="41"/>
        <v>2.3712936588783391E-2</v>
      </c>
      <c r="AK43" s="984">
        <f t="shared" si="42"/>
        <v>2.3712936588783391E-2</v>
      </c>
      <c r="AL43" s="984">
        <f t="shared" si="43"/>
        <v>2.3712936588783391E-2</v>
      </c>
      <c r="AM43" s="997">
        <f t="shared" si="44"/>
        <v>2.3712936588783391E-2</v>
      </c>
      <c r="AN43" s="157">
        <f t="shared" si="66"/>
        <v>0.99970336629258993</v>
      </c>
      <c r="AO43" s="158">
        <f t="shared" si="67"/>
        <v>0.99069085713967298</v>
      </c>
      <c r="AP43" s="158">
        <f t="shared" si="68"/>
        <v>4.9171777760648183E-13</v>
      </c>
      <c r="AQ43" s="158">
        <f t="shared" si="69"/>
        <v>0.17348991684038328</v>
      </c>
      <c r="AR43" s="458">
        <f t="shared" si="70"/>
        <v>6.941532530368999E-4</v>
      </c>
      <c r="AS43" s="154">
        <f t="shared" ca="1" si="46"/>
        <v>4.4690938134007409E-2</v>
      </c>
      <c r="AT43" s="155">
        <f t="shared" ca="1" si="47"/>
        <v>4.1295493531863924E-2</v>
      </c>
      <c r="AU43" s="155">
        <f t="shared" si="48"/>
        <v>0</v>
      </c>
      <c r="AV43" s="155">
        <f t="shared" ca="1" si="49"/>
        <v>0</v>
      </c>
      <c r="AW43" s="156">
        <f t="shared" ca="1" si="50"/>
        <v>0</v>
      </c>
      <c r="AX43" s="154">
        <f t="shared" ca="1" si="51"/>
        <v>4.4677681295341082E-2</v>
      </c>
      <c r="AY43" s="155">
        <f t="shared" ca="1" si="52"/>
        <v>4.0911067883088091E-2</v>
      </c>
      <c r="AZ43" s="155">
        <f t="shared" si="53"/>
        <v>0</v>
      </c>
      <c r="BA43" s="155">
        <f t="shared" ca="1" si="71"/>
        <v>0</v>
      </c>
      <c r="BB43" s="156">
        <f t="shared" ca="1" si="72"/>
        <v>0</v>
      </c>
      <c r="BC43" s="154">
        <f t="shared" ca="1" si="73"/>
        <v>0.95532231870465889</v>
      </c>
      <c r="BD43" s="155">
        <f t="shared" ca="1" si="56"/>
        <v>2.3321934542667011E-2</v>
      </c>
      <c r="BE43" s="155">
        <f t="shared" ca="1" si="57"/>
        <v>2.1355746752674064E-2</v>
      </c>
      <c r="BF43" s="155">
        <f t="shared" ca="1" si="58"/>
        <v>0</v>
      </c>
      <c r="BG43" s="155">
        <f t="shared" ca="1" si="59"/>
        <v>0</v>
      </c>
      <c r="BH43" s="156">
        <f t="shared" ca="1" si="60"/>
        <v>0</v>
      </c>
    </row>
    <row r="44" spans="1:62" x14ac:dyDescent="0.2">
      <c r="A44" s="189">
        <v>2027</v>
      </c>
      <c r="B44" s="667">
        <f t="shared" ref="B44:G53" si="76">ROUND(INDEX(COST_Cls1,$A44-($A$24-1),MATCH(B$20,TECHOPTS_Cls1,0)),2)</f>
        <v>161438.65</v>
      </c>
      <c r="C44" s="668">
        <f t="shared" si="76"/>
        <v>2000.66</v>
      </c>
      <c r="D44" s="668">
        <f t="shared" si="76"/>
        <v>9150.66</v>
      </c>
      <c r="E44" s="668">
        <f t="shared" si="76"/>
        <v>459327.66</v>
      </c>
      <c r="F44" s="668">
        <f t="shared" si="76"/>
        <v>109474.66</v>
      </c>
      <c r="G44" s="669">
        <f t="shared" si="76"/>
        <v>225667.66</v>
      </c>
      <c r="H44" s="628">
        <f t="shared" ref="H44:M53" si="77">IF(H$21="Single-fuel",1,1-MIN(INDEX(CDRANGE_CLS1,$A44-($A$24-1),MATCH(H$20,TECHOPTS_Cls1,0))*OPDAYS_Cls1/$D$6,1))</f>
        <v>1</v>
      </c>
      <c r="I44" s="629">
        <f t="shared" si="77"/>
        <v>1</v>
      </c>
      <c r="J44" s="629">
        <f t="shared" si="77"/>
        <v>1</v>
      </c>
      <c r="K44" s="629">
        <f t="shared" si="77"/>
        <v>1</v>
      </c>
      <c r="L44" s="629">
        <f t="shared" si="77"/>
        <v>1</v>
      </c>
      <c r="M44" s="630">
        <f t="shared" si="77"/>
        <v>0.74623567857604245</v>
      </c>
      <c r="N44" s="147">
        <f t="shared" si="28"/>
        <v>7907.8829076733591</v>
      </c>
      <c r="O44" s="148">
        <f t="shared" si="29"/>
        <v>7764.4239108502752</v>
      </c>
      <c r="P44" s="148">
        <f t="shared" si="30"/>
        <v>7215.5584664414719</v>
      </c>
      <c r="Q44" s="148">
        <f t="shared" si="31"/>
        <v>12927.44585398961</v>
      </c>
      <c r="R44" s="148">
        <f t="shared" si="32"/>
        <v>13267.998741589017</v>
      </c>
      <c r="S44" s="150">
        <f t="shared" si="33"/>
        <v>8917.7546637321229</v>
      </c>
      <c r="T44" s="581">
        <f t="shared" si="61"/>
        <v>143.45899682308391</v>
      </c>
      <c r="U44" s="162">
        <f t="shared" si="62"/>
        <v>692.32444123188725</v>
      </c>
      <c r="V44" s="162">
        <f t="shared" si="63"/>
        <v>-5019.5629463162504</v>
      </c>
      <c r="W44" s="162">
        <f t="shared" si="64"/>
        <v>-5360.1158339156582</v>
      </c>
      <c r="X44" s="163">
        <f t="shared" si="65"/>
        <v>-1009.8717560587638</v>
      </c>
      <c r="Y44" s="165">
        <f ca="1">IF(AND(Y$22=TRUE,INDEX(CDRANGE_CLS1,MATCH($A44,$A$24:$A$67,0),MATCH(Y$20,$B$20:$G$20,0))&lt;$D$6/OPDAYS_Cls1),86,payback(C44,T44,disc_rate/12,85))</f>
        <v>15</v>
      </c>
      <c r="Z44" s="166">
        <f ca="1">IF(AND(Z$22=TRUE,INDEX(CDRANGE_CLS1,MATCH($A44,$A$24:$A$67,0),MATCH(Z$20,$B$20:$G$20,0))&lt;$D$6/OPDAYS_Cls1),86,payback(D44,U44,disc_rate/12,85))</f>
        <v>14</v>
      </c>
      <c r="AA44" s="166">
        <f>IF(AND(AA$22=TRUE,INDEX(CDRANGE_CLS1,MATCH($A44,$A$24:$A$67,0),MATCH(AA$20,$B$20:$G$20,0))&lt;$D$6/OPDAYS_Cls1),86,payback(E44,V44,disc_rate/12,85))</f>
        <v>86</v>
      </c>
      <c r="AB44" s="166">
        <f ca="1">IF(AND(AB$22=TRUE,INDEX(CDRANGE_CLS1,MATCH($A44,$A$24:$A$67,0),MATCH(AB$20,$B$20:$G$20,0))&lt;$D$6/OPDAYS_Cls1),86,payback(F44,W44,disc_rate/12,85))</f>
        <v>86</v>
      </c>
      <c r="AC44" s="439">
        <f ca="1">IF(AND(AC$22=TRUE,INDEX(CDRANGE_CLS1,MATCH($A44,$A$24:$A$67,0),MATCH(AC$20,$B$20:$G$20,0))&lt;$D$6/OPDAYS_Cls1),86,payback(G44,X44,disc_rate/12,85))</f>
        <v>86</v>
      </c>
      <c r="AD44" s="168">
        <f t="shared" si="35"/>
        <v>0</v>
      </c>
      <c r="AE44" s="169">
        <f t="shared" si="36"/>
        <v>0</v>
      </c>
      <c r="AF44" s="169">
        <f t="shared" si="37"/>
        <v>0</v>
      </c>
      <c r="AG44" s="169">
        <f t="shared" si="38"/>
        <v>0</v>
      </c>
      <c r="AH44" s="170">
        <f t="shared" si="39"/>
        <v>0</v>
      </c>
      <c r="AI44" s="986">
        <f t="shared" si="40"/>
        <v>5.9601461011058773E-2</v>
      </c>
      <c r="AJ44" s="987">
        <f t="shared" si="41"/>
        <v>5.9601461011058773E-2</v>
      </c>
      <c r="AK44" s="987">
        <f t="shared" si="42"/>
        <v>5.9601461011058773E-2</v>
      </c>
      <c r="AL44" s="987">
        <f t="shared" si="43"/>
        <v>5.9601461011058773E-2</v>
      </c>
      <c r="AM44" s="995">
        <f t="shared" si="44"/>
        <v>5.9601461011058773E-2</v>
      </c>
      <c r="AN44" s="171">
        <f t="shared" si="66"/>
        <v>0.9995734829372247</v>
      </c>
      <c r="AO44" s="172">
        <f t="shared" si="67"/>
        <v>0.99111513571246812</v>
      </c>
      <c r="AP44" s="172">
        <f t="shared" si="68"/>
        <v>1.7143786390505511E-10</v>
      </c>
      <c r="AQ44" s="172">
        <f t="shared" si="69"/>
        <v>0.27877527106129829</v>
      </c>
      <c r="AR44" s="445">
        <f t="shared" si="70"/>
        <v>4.3928985928423092E-3</v>
      </c>
      <c r="AS44" s="168">
        <f t="shared" ca="1" si="46"/>
        <v>0.10045649987984681</v>
      </c>
      <c r="AT44" s="169">
        <f t="shared" ca="1" si="47"/>
        <v>0.10379447262706548</v>
      </c>
      <c r="AU44" s="169">
        <f t="shared" si="48"/>
        <v>0</v>
      </c>
      <c r="AV44" s="169">
        <f t="shared" ca="1" si="49"/>
        <v>0</v>
      </c>
      <c r="AW44" s="170">
        <f t="shared" ca="1" si="50"/>
        <v>0</v>
      </c>
      <c r="AX44" s="168">
        <f t="shared" ca="1" si="51"/>
        <v>0.10041365346858137</v>
      </c>
      <c r="AY44" s="169">
        <f t="shared" ca="1" si="52"/>
        <v>0.10287227282397807</v>
      </c>
      <c r="AZ44" s="169">
        <f t="shared" si="53"/>
        <v>0</v>
      </c>
      <c r="BA44" s="169">
        <f t="shared" ca="1" si="71"/>
        <v>0</v>
      </c>
      <c r="BB44" s="170">
        <f t="shared" ca="1" si="72"/>
        <v>0</v>
      </c>
      <c r="BC44" s="168">
        <f t="shared" ca="1" si="73"/>
        <v>0.89712772717602196</v>
      </c>
      <c r="BD44" s="169">
        <f t="shared" ca="1" si="56"/>
        <v>5.0814047697557603E-2</v>
      </c>
      <c r="BE44" s="169">
        <f t="shared" ca="1" si="57"/>
        <v>5.2058225126420471E-2</v>
      </c>
      <c r="BF44" s="169">
        <f t="shared" ca="1" si="58"/>
        <v>0</v>
      </c>
      <c r="BG44" s="169">
        <f t="shared" ca="1" si="59"/>
        <v>0</v>
      </c>
      <c r="BH44" s="170">
        <f t="shared" ca="1" si="60"/>
        <v>0</v>
      </c>
    </row>
    <row r="45" spans="1:62" x14ac:dyDescent="0.2">
      <c r="A45" s="189">
        <v>2028</v>
      </c>
      <c r="B45" s="667">
        <f t="shared" si="76"/>
        <v>161925.62</v>
      </c>
      <c r="C45" s="668">
        <f t="shared" si="76"/>
        <v>2193.4899999999998</v>
      </c>
      <c r="D45" s="668">
        <f t="shared" si="76"/>
        <v>9158.27</v>
      </c>
      <c r="E45" s="668">
        <f t="shared" si="76"/>
        <v>407681.02</v>
      </c>
      <c r="F45" s="668">
        <f t="shared" si="76"/>
        <v>104637.41</v>
      </c>
      <c r="G45" s="669">
        <f t="shared" si="76"/>
        <v>202420.77</v>
      </c>
      <c r="H45" s="628">
        <f t="shared" si="77"/>
        <v>1</v>
      </c>
      <c r="I45" s="629">
        <f t="shared" si="77"/>
        <v>1</v>
      </c>
      <c r="J45" s="629">
        <f t="shared" si="77"/>
        <v>1</v>
      </c>
      <c r="K45" s="629">
        <f t="shared" si="77"/>
        <v>1</v>
      </c>
      <c r="L45" s="629">
        <f t="shared" si="77"/>
        <v>1</v>
      </c>
      <c r="M45" s="630">
        <f t="shared" si="77"/>
        <v>0.74584018849870026</v>
      </c>
      <c r="N45" s="147">
        <f t="shared" si="28"/>
        <v>7908.8659910522902</v>
      </c>
      <c r="O45" s="148">
        <f t="shared" si="29"/>
        <v>7595.9386602359527</v>
      </c>
      <c r="P45" s="148">
        <f t="shared" si="30"/>
        <v>7049.0316812693009</v>
      </c>
      <c r="Q45" s="148">
        <f t="shared" si="31"/>
        <v>12567.460795333956</v>
      </c>
      <c r="R45" s="148">
        <f t="shared" si="32"/>
        <v>12745.151085689697</v>
      </c>
      <c r="S45" s="150">
        <f t="shared" si="33"/>
        <v>8741.5179329250132</v>
      </c>
      <c r="T45" s="581">
        <f t="shared" si="61"/>
        <v>312.92733081633742</v>
      </c>
      <c r="U45" s="162">
        <f t="shared" si="62"/>
        <v>859.83430978298929</v>
      </c>
      <c r="V45" s="162">
        <f t="shared" si="63"/>
        <v>-4658.5948042816663</v>
      </c>
      <c r="W45" s="162">
        <f t="shared" si="64"/>
        <v>-4836.2850946374065</v>
      </c>
      <c r="X45" s="163">
        <f t="shared" si="65"/>
        <v>-832.651941872723</v>
      </c>
      <c r="Y45" s="165">
        <f ca="1">IF(AND(Y$22=TRUE,INDEX(CDRANGE_CLS1,MATCH($A45,$A$24:$A$67,0),MATCH(Y$20,$B$20:$G$20,0))&lt;$D$6/OPDAYS_Cls1),86,payback(C45,T45,disc_rate/12,85))</f>
        <v>8</v>
      </c>
      <c r="Z45" s="166">
        <f ca="1">IF(AND(Z$22=TRUE,INDEX(CDRANGE_CLS1,MATCH($A45,$A$24:$A$67,0),MATCH(Z$20,$B$20:$G$20,0))&lt;$D$6/OPDAYS_Cls1),86,payback(D45,U45,disc_rate/12,85))</f>
        <v>12</v>
      </c>
      <c r="AA45" s="166">
        <f>IF(AND(AA$22=TRUE,INDEX(CDRANGE_CLS1,MATCH($A45,$A$24:$A$67,0),MATCH(AA$20,$B$20:$G$20,0))&lt;$D$6/OPDAYS_Cls1),86,payback(E45,V45,disc_rate/12,85))</f>
        <v>86</v>
      </c>
      <c r="AB45" s="166">
        <f ca="1">IF(AND(AB$22=TRUE,INDEX(CDRANGE_CLS1,MATCH($A45,$A$24:$A$67,0),MATCH(AB$20,$B$20:$G$20,0))&lt;$D$6/OPDAYS_Cls1),86,payback(F45,W45,disc_rate/12,85))</f>
        <v>86</v>
      </c>
      <c r="AC45" s="439">
        <f ca="1">IF(AND(AC$22=TRUE,INDEX(CDRANGE_CLS1,MATCH($A45,$A$24:$A$67,0),MATCH(AC$20,$B$20:$G$20,0))&lt;$D$6/OPDAYS_Cls1),86,payback(G45,X45,disc_rate/12,85))</f>
        <v>86</v>
      </c>
      <c r="AD45" s="168">
        <f t="shared" si="35"/>
        <v>0</v>
      </c>
      <c r="AE45" s="169">
        <f t="shared" si="36"/>
        <v>0</v>
      </c>
      <c r="AF45" s="169">
        <f t="shared" si="37"/>
        <v>0</v>
      </c>
      <c r="AG45" s="169">
        <f t="shared" si="38"/>
        <v>0</v>
      </c>
      <c r="AH45" s="170">
        <f t="shared" si="39"/>
        <v>0</v>
      </c>
      <c r="AI45" s="986">
        <f t="shared" si="40"/>
        <v>0.13447071068499755</v>
      </c>
      <c r="AJ45" s="987">
        <f t="shared" si="41"/>
        <v>0.13447071068499755</v>
      </c>
      <c r="AK45" s="987">
        <f t="shared" si="42"/>
        <v>0.13447071068499755</v>
      </c>
      <c r="AL45" s="987">
        <f t="shared" si="43"/>
        <v>0.13447071068499755</v>
      </c>
      <c r="AM45" s="995">
        <f t="shared" si="44"/>
        <v>0.13447071068499755</v>
      </c>
      <c r="AN45" s="171">
        <f t="shared" si="66"/>
        <v>0.99949040284053825</v>
      </c>
      <c r="AO45" s="172">
        <f t="shared" si="67"/>
        <v>0.99115362868158075</v>
      </c>
      <c r="AP45" s="172">
        <f t="shared" si="68"/>
        <v>2.2541872146675246E-8</v>
      </c>
      <c r="AQ45" s="172">
        <f t="shared" si="69"/>
        <v>0.31350097172332436</v>
      </c>
      <c r="AR45" s="445">
        <f t="shared" si="70"/>
        <v>1.302522685574059E-2</v>
      </c>
      <c r="AS45" s="168">
        <f t="shared" ca="1" si="46"/>
        <v>0.26588892548350462</v>
      </c>
      <c r="AT45" s="169">
        <f t="shared" ca="1" si="47"/>
        <v>0.24765195347247992</v>
      </c>
      <c r="AU45" s="169">
        <f t="shared" si="48"/>
        <v>0</v>
      </c>
      <c r="AV45" s="169">
        <f t="shared" ca="1" si="49"/>
        <v>0</v>
      </c>
      <c r="AW45" s="170">
        <f t="shared" ca="1" si="50"/>
        <v>0</v>
      </c>
      <c r="AX45" s="168">
        <f t="shared" ca="1" si="51"/>
        <v>0.26575342924234591</v>
      </c>
      <c r="AY45" s="169">
        <f t="shared" ca="1" si="52"/>
        <v>0.24546113233433048</v>
      </c>
      <c r="AZ45" s="169">
        <f t="shared" si="53"/>
        <v>0</v>
      </c>
      <c r="BA45" s="169">
        <f t="shared" ca="1" si="71"/>
        <v>0</v>
      </c>
      <c r="BB45" s="170">
        <f t="shared" ca="1" si="72"/>
        <v>0</v>
      </c>
      <c r="BC45" s="168">
        <f t="shared" ca="1" si="73"/>
        <v>0.73424657075765409</v>
      </c>
      <c r="BD45" s="169">
        <f t="shared" ca="1" si="56"/>
        <v>0.13815116090638516</v>
      </c>
      <c r="BE45" s="169">
        <f t="shared" ca="1" si="57"/>
        <v>0.12760226833596075</v>
      </c>
      <c r="BF45" s="169">
        <f t="shared" ca="1" si="58"/>
        <v>0</v>
      </c>
      <c r="BG45" s="169">
        <f t="shared" ca="1" si="59"/>
        <v>0</v>
      </c>
      <c r="BH45" s="170">
        <f t="shared" ca="1" si="60"/>
        <v>0</v>
      </c>
    </row>
    <row r="46" spans="1:62" x14ac:dyDescent="0.2">
      <c r="A46" s="189">
        <v>2029</v>
      </c>
      <c r="B46" s="667">
        <f t="shared" si="76"/>
        <v>162512.85</v>
      </c>
      <c r="C46" s="668">
        <f t="shared" si="76"/>
        <v>2339.63</v>
      </c>
      <c r="D46" s="668">
        <f t="shared" si="76"/>
        <v>9164.0300000000007</v>
      </c>
      <c r="E46" s="668">
        <f t="shared" si="76"/>
        <v>368537.53</v>
      </c>
      <c r="F46" s="668">
        <f t="shared" si="76"/>
        <v>100971.21</v>
      </c>
      <c r="G46" s="669">
        <f t="shared" si="76"/>
        <v>184801.71</v>
      </c>
      <c r="H46" s="628">
        <f t="shared" si="77"/>
        <v>1</v>
      </c>
      <c r="I46" s="629">
        <f t="shared" si="77"/>
        <v>1</v>
      </c>
      <c r="J46" s="629">
        <f t="shared" si="77"/>
        <v>1</v>
      </c>
      <c r="K46" s="629">
        <f t="shared" si="77"/>
        <v>1</v>
      </c>
      <c r="L46" s="629">
        <f t="shared" si="77"/>
        <v>1</v>
      </c>
      <c r="M46" s="630">
        <f t="shared" si="77"/>
        <v>0.7455404426959058</v>
      </c>
      <c r="N46" s="147">
        <f t="shared" si="28"/>
        <v>7840.985724712953</v>
      </c>
      <c r="O46" s="148">
        <f t="shared" si="29"/>
        <v>7460.5521372165831</v>
      </c>
      <c r="P46" s="148">
        <f t="shared" si="30"/>
        <v>6916.4638988484112</v>
      </c>
      <c r="Q46" s="148">
        <f t="shared" si="31"/>
        <v>12276.453532023894</v>
      </c>
      <c r="R46" s="148">
        <f t="shared" si="32"/>
        <v>12309.139963127451</v>
      </c>
      <c r="S46" s="150">
        <f t="shared" si="33"/>
        <v>8595.1785228177177</v>
      </c>
      <c r="T46" s="581">
        <f t="shared" si="61"/>
        <v>380.43358749636991</v>
      </c>
      <c r="U46" s="162">
        <f t="shared" si="62"/>
        <v>924.52182586454182</v>
      </c>
      <c r="V46" s="162">
        <f t="shared" si="63"/>
        <v>-4435.4678073109408</v>
      </c>
      <c r="W46" s="162">
        <f t="shared" si="64"/>
        <v>-4468.1542384144977</v>
      </c>
      <c r="X46" s="163">
        <f t="shared" si="65"/>
        <v>-754.19279810476473</v>
      </c>
      <c r="Y46" s="165">
        <f ca="1">IF(AND(Y$22=TRUE,INDEX(CDRANGE_CLS1,MATCH($A46,$A$24:$A$67,0),MATCH(Y$20,$B$20:$G$20,0))&lt;$D$6/OPDAYS_Cls1),86,payback(C46,T46,disc_rate/12,85))</f>
        <v>7</v>
      </c>
      <c r="Z46" s="166">
        <f ca="1">IF(AND(Z$22=TRUE,INDEX(CDRANGE_CLS1,MATCH($A46,$A$24:$A$67,0),MATCH(Z$20,$B$20:$G$20,0))&lt;$D$6/OPDAYS_Cls1),86,payback(D46,U46,disc_rate/12,85))</f>
        <v>11</v>
      </c>
      <c r="AA46" s="166">
        <f>IF(AND(AA$22=TRUE,INDEX(CDRANGE_CLS1,MATCH($A46,$A$24:$A$67,0),MATCH(AA$20,$B$20:$G$20,0))&lt;$D$6/OPDAYS_Cls1),86,payback(E46,V46,disc_rate/12,85))</f>
        <v>86</v>
      </c>
      <c r="AB46" s="166">
        <f ca="1">IF(AND(AB$22=TRUE,INDEX(CDRANGE_CLS1,MATCH($A46,$A$24:$A$67,0),MATCH(AB$20,$B$20:$G$20,0))&lt;$D$6/OPDAYS_Cls1),86,payback(F46,W46,disc_rate/12,85))</f>
        <v>86</v>
      </c>
      <c r="AC46" s="439">
        <f ca="1">IF(AND(AC$22=TRUE,INDEX(CDRANGE_CLS1,MATCH($A46,$A$24:$A$67,0),MATCH(AC$20,$B$20:$G$20,0))&lt;$D$6/OPDAYS_Cls1),86,payback(G46,X46,disc_rate/12,85))</f>
        <v>86</v>
      </c>
      <c r="AD46" s="168">
        <f t="shared" si="35"/>
        <v>0</v>
      </c>
      <c r="AE46" s="169">
        <f t="shared" si="36"/>
        <v>0</v>
      </c>
      <c r="AF46" s="169">
        <f t="shared" si="37"/>
        <v>0</v>
      </c>
      <c r="AG46" s="169">
        <f t="shared" si="38"/>
        <v>0</v>
      </c>
      <c r="AH46" s="170">
        <f t="shared" si="39"/>
        <v>0</v>
      </c>
      <c r="AI46" s="986">
        <f t="shared" si="40"/>
        <v>0.25</v>
      </c>
      <c r="AJ46" s="987">
        <f t="shared" si="41"/>
        <v>0.25</v>
      </c>
      <c r="AK46" s="987">
        <f t="shared" si="42"/>
        <v>0.25</v>
      </c>
      <c r="AL46" s="987">
        <f t="shared" si="43"/>
        <v>0.25</v>
      </c>
      <c r="AM46" s="995">
        <f t="shared" si="44"/>
        <v>0.25</v>
      </c>
      <c r="AN46" s="171">
        <f t="shared" si="66"/>
        <v>0.99942443889532906</v>
      </c>
      <c r="AO46" s="172">
        <f t="shared" si="67"/>
        <v>0.99120616123220495</v>
      </c>
      <c r="AP46" s="172">
        <f t="shared" si="68"/>
        <v>6.2521279864391488E-7</v>
      </c>
      <c r="AQ46" s="172">
        <f t="shared" si="69"/>
        <v>0.34221974273758682</v>
      </c>
      <c r="AR46" s="445">
        <f t="shared" si="70"/>
        <v>2.7543706279160141E-2</v>
      </c>
      <c r="AS46" s="168">
        <f t="shared" ca="1" si="46"/>
        <v>0.49836364270351485</v>
      </c>
      <c r="AT46" s="169">
        <f t="shared" ca="1" si="47"/>
        <v>0.47116621307825446</v>
      </c>
      <c r="AU46" s="169">
        <f t="shared" si="48"/>
        <v>0</v>
      </c>
      <c r="AV46" s="169">
        <f t="shared" ca="1" si="49"/>
        <v>0</v>
      </c>
      <c r="AW46" s="170">
        <f t="shared" ca="1" si="50"/>
        <v>0</v>
      </c>
      <c r="AX46" s="168">
        <f t="shared" ca="1" si="51"/>
        <v>0.49807680397479259</v>
      </c>
      <c r="AY46" s="169">
        <f t="shared" ca="1" si="52"/>
        <v>0.46702285336761173</v>
      </c>
      <c r="AZ46" s="169">
        <f t="shared" si="53"/>
        <v>0</v>
      </c>
      <c r="BA46" s="169">
        <f t="shared" ca="1" si="71"/>
        <v>0</v>
      </c>
      <c r="BB46" s="170">
        <f t="shared" ca="1" si="72"/>
        <v>0</v>
      </c>
      <c r="BC46" s="168">
        <f t="shared" ca="1" si="73"/>
        <v>0.50192319602520741</v>
      </c>
      <c r="BD46" s="169">
        <f t="shared" ca="1" si="56"/>
        <v>0.25705169489012508</v>
      </c>
      <c r="BE46" s="169">
        <f t="shared" ca="1" si="57"/>
        <v>0.24102510908466754</v>
      </c>
      <c r="BF46" s="169">
        <f t="shared" ca="1" si="58"/>
        <v>0</v>
      </c>
      <c r="BG46" s="169">
        <f t="shared" ca="1" si="59"/>
        <v>0</v>
      </c>
      <c r="BH46" s="170">
        <f t="shared" ca="1" si="60"/>
        <v>0</v>
      </c>
    </row>
    <row r="47" spans="1:62" ht="13.5" thickBot="1" x14ac:dyDescent="0.25">
      <c r="A47" s="465">
        <v>2030</v>
      </c>
      <c r="B47" s="661">
        <f t="shared" si="76"/>
        <v>162980.88</v>
      </c>
      <c r="C47" s="662">
        <f t="shared" si="76"/>
        <v>2506.12</v>
      </c>
      <c r="D47" s="662">
        <f t="shared" si="76"/>
        <v>9170.6</v>
      </c>
      <c r="E47" s="662">
        <f t="shared" si="76"/>
        <v>323944.02</v>
      </c>
      <c r="F47" s="662">
        <f t="shared" si="76"/>
        <v>96794.559999999998</v>
      </c>
      <c r="G47" s="663">
        <f t="shared" si="76"/>
        <v>164729.53</v>
      </c>
      <c r="H47" s="628">
        <f t="shared" si="77"/>
        <v>1</v>
      </c>
      <c r="I47" s="629">
        <f t="shared" si="77"/>
        <v>1</v>
      </c>
      <c r="J47" s="629">
        <f t="shared" si="77"/>
        <v>1</v>
      </c>
      <c r="K47" s="629">
        <f t="shared" si="77"/>
        <v>1</v>
      </c>
      <c r="L47" s="629">
        <f t="shared" si="77"/>
        <v>1</v>
      </c>
      <c r="M47" s="630">
        <f t="shared" si="77"/>
        <v>0.74519896277933384</v>
      </c>
      <c r="N47" s="622">
        <f t="shared" si="28"/>
        <v>7892.8611050758473</v>
      </c>
      <c r="O47" s="623">
        <f t="shared" si="29"/>
        <v>7389.656722254299</v>
      </c>
      <c r="P47" s="623">
        <f t="shared" si="30"/>
        <v>6843.3719052538045</v>
      </c>
      <c r="Q47" s="623">
        <f t="shared" si="31"/>
        <v>11957.802511462782</v>
      </c>
      <c r="R47" s="623">
        <f t="shared" si="32"/>
        <v>11860.527744512377</v>
      </c>
      <c r="S47" s="624">
        <f t="shared" si="33"/>
        <v>8491.3075448963955</v>
      </c>
      <c r="T47" s="582">
        <f t="shared" si="61"/>
        <v>503.20438282154828</v>
      </c>
      <c r="U47" s="466">
        <f t="shared" si="62"/>
        <v>1049.4891998220428</v>
      </c>
      <c r="V47" s="466">
        <f t="shared" si="63"/>
        <v>-4064.9414063869344</v>
      </c>
      <c r="W47" s="466">
        <f t="shared" si="64"/>
        <v>-3967.6666394365302</v>
      </c>
      <c r="X47" s="467">
        <f t="shared" si="65"/>
        <v>-598.44643982054822</v>
      </c>
      <c r="Y47" s="468">
        <f ca="1">IF(AND(Y$22=TRUE,INDEX(CDRANGE_CLS1,MATCH($A47,$A$24:$A$67,0),MATCH(Y$20,$B$20:$G$20,0))&lt;$D$6/OPDAYS_Cls1),86,payback(C47,T47,disc_rate/12,85))</f>
        <v>6</v>
      </c>
      <c r="Z47" s="469">
        <f ca="1">IF(AND(Z$22=TRUE,INDEX(CDRANGE_CLS1,MATCH($A47,$A$24:$A$67,0),MATCH(Z$20,$B$20:$G$20,0))&lt;$D$6/OPDAYS_Cls1),86,payback(D47,U47,disc_rate/12,85))</f>
        <v>10</v>
      </c>
      <c r="AA47" s="469">
        <f>IF(AND(AA$22=TRUE,INDEX(CDRANGE_CLS1,MATCH($A47,$A$24:$A$67,0),MATCH(AA$20,$B$20:$G$20,0))&lt;$D$6/OPDAYS_Cls1),86,payback(E47,V47,disc_rate/12,85))</f>
        <v>86</v>
      </c>
      <c r="AB47" s="469">
        <f ca="1">IF(AND(AB$22=TRUE,INDEX(CDRANGE_CLS1,MATCH($A47,$A$24:$A$67,0),MATCH(AB$20,$B$20:$G$20,0))&lt;$D$6/OPDAYS_Cls1),86,payback(F47,W47,disc_rate/12,85))</f>
        <v>86</v>
      </c>
      <c r="AC47" s="470">
        <f ca="1">IF(AND(AC$22=TRUE,INDEX(CDRANGE_CLS1,MATCH($A47,$A$24:$A$67,0),MATCH(AC$20,$B$20:$G$20,0))&lt;$D$6/OPDAYS_Cls1),86,payback(G47,X47,disc_rate/12,85))</f>
        <v>86</v>
      </c>
      <c r="AD47" s="471">
        <f t="shared" si="35"/>
        <v>0</v>
      </c>
      <c r="AE47" s="472">
        <f t="shared" si="36"/>
        <v>0</v>
      </c>
      <c r="AF47" s="472">
        <f t="shared" si="37"/>
        <v>0</v>
      </c>
      <c r="AG47" s="472">
        <f t="shared" si="38"/>
        <v>0</v>
      </c>
      <c r="AH47" s="473">
        <f t="shared" si="39"/>
        <v>0</v>
      </c>
      <c r="AI47" s="998">
        <f t="shared" si="40"/>
        <v>0.36552928931500245</v>
      </c>
      <c r="AJ47" s="999">
        <f t="shared" si="41"/>
        <v>0.36552928931500245</v>
      </c>
      <c r="AK47" s="999">
        <f t="shared" si="42"/>
        <v>0.36552928931500245</v>
      </c>
      <c r="AL47" s="999">
        <f t="shared" si="43"/>
        <v>0.36552928931500245</v>
      </c>
      <c r="AM47" s="1000">
        <f t="shared" si="44"/>
        <v>0.36552928931500245</v>
      </c>
      <c r="AN47" s="477">
        <f t="shared" si="66"/>
        <v>0.99934342356065498</v>
      </c>
      <c r="AO47" s="475">
        <f t="shared" si="67"/>
        <v>0.99124388725378909</v>
      </c>
      <c r="AP47" s="475">
        <f t="shared" si="68"/>
        <v>1.7142002783465671E-5</v>
      </c>
      <c r="AQ47" s="475">
        <f t="shared" si="69"/>
        <v>0.37539578317750855</v>
      </c>
      <c r="AR47" s="476">
        <f t="shared" si="70"/>
        <v>5.8559962084821504E-2</v>
      </c>
      <c r="AS47" s="471">
        <f t="shared" ca="1" si="46"/>
        <v>0.7310585786300049</v>
      </c>
      <c r="AT47" s="472">
        <f t="shared" ca="1" si="47"/>
        <v>0.70256958544885761</v>
      </c>
      <c r="AU47" s="472">
        <f t="shared" si="48"/>
        <v>0</v>
      </c>
      <c r="AV47" s="472">
        <f t="shared" ca="1" si="49"/>
        <v>0</v>
      </c>
      <c r="AW47" s="473">
        <f t="shared" ca="1" si="50"/>
        <v>0</v>
      </c>
      <c r="AX47" s="471">
        <f t="shared" ca="1" si="51"/>
        <v>0.73057858279149535</v>
      </c>
      <c r="AY47" s="472">
        <f t="shared" ca="1" si="52"/>
        <v>0.69641780694660871</v>
      </c>
      <c r="AZ47" s="472">
        <f t="shared" si="53"/>
        <v>0</v>
      </c>
      <c r="BA47" s="472">
        <f t="shared" ca="1" si="71"/>
        <v>0</v>
      </c>
      <c r="BB47" s="473">
        <f t="shared" ca="1" si="72"/>
        <v>0</v>
      </c>
      <c r="BC47" s="471">
        <f t="shared" ca="1" si="73"/>
        <v>0.26942141720850465</v>
      </c>
      <c r="BD47" s="472">
        <f t="shared" ca="1" si="56"/>
        <v>0.37403392851721778</v>
      </c>
      <c r="BE47" s="472">
        <f t="shared" ca="1" si="57"/>
        <v>0.35654465427427756</v>
      </c>
      <c r="BF47" s="472">
        <f t="shared" ca="1" si="58"/>
        <v>0</v>
      </c>
      <c r="BG47" s="472">
        <f t="shared" ca="1" si="59"/>
        <v>0</v>
      </c>
      <c r="BH47" s="473">
        <f t="shared" ca="1" si="60"/>
        <v>0</v>
      </c>
    </row>
    <row r="48" spans="1:62" x14ac:dyDescent="0.2">
      <c r="A48" s="190">
        <v>2031</v>
      </c>
      <c r="B48" s="664">
        <f t="shared" si="76"/>
        <v>163384.94</v>
      </c>
      <c r="C48" s="665">
        <f t="shared" si="76"/>
        <v>2643.29</v>
      </c>
      <c r="D48" s="665">
        <f t="shared" si="76"/>
        <v>9176.01</v>
      </c>
      <c r="E48" s="665">
        <f t="shared" si="76"/>
        <v>287201.62</v>
      </c>
      <c r="F48" s="665">
        <f t="shared" si="76"/>
        <v>93353.25</v>
      </c>
      <c r="G48" s="666">
        <f t="shared" si="76"/>
        <v>148191.25</v>
      </c>
      <c r="H48" s="628">
        <f t="shared" si="77"/>
        <v>1</v>
      </c>
      <c r="I48" s="629">
        <f t="shared" si="77"/>
        <v>1</v>
      </c>
      <c r="J48" s="629">
        <f t="shared" si="77"/>
        <v>1</v>
      </c>
      <c r="K48" s="629">
        <f t="shared" si="77"/>
        <v>1</v>
      </c>
      <c r="L48" s="629">
        <f t="shared" si="77"/>
        <v>1</v>
      </c>
      <c r="M48" s="630">
        <f t="shared" si="77"/>
        <v>0.7449176036433115</v>
      </c>
      <c r="N48" s="478">
        <f t="shared" si="28"/>
        <v>7886.3745675059799</v>
      </c>
      <c r="O48" s="479">
        <f t="shared" si="29"/>
        <v>7293.7804424914866</v>
      </c>
      <c r="P48" s="479">
        <f t="shared" si="30"/>
        <v>6748.9202489644522</v>
      </c>
      <c r="Q48" s="479">
        <f t="shared" si="31"/>
        <v>11727.379000698749</v>
      </c>
      <c r="R48" s="479">
        <f t="shared" si="32"/>
        <v>11464.534885853582</v>
      </c>
      <c r="S48" s="592">
        <f t="shared" si="33"/>
        <v>8384.089142289884</v>
      </c>
      <c r="T48" s="583">
        <f t="shared" si="61"/>
        <v>592.59412501449333</v>
      </c>
      <c r="U48" s="479">
        <f t="shared" si="62"/>
        <v>1137.4543185415278</v>
      </c>
      <c r="V48" s="479">
        <f t="shared" si="63"/>
        <v>-3841.0044331927693</v>
      </c>
      <c r="W48" s="479">
        <f t="shared" si="64"/>
        <v>-3578.1603183476018</v>
      </c>
      <c r="X48" s="480">
        <f t="shared" si="65"/>
        <v>-497.71457478390403</v>
      </c>
      <c r="Y48" s="481">
        <f ca="1">IF(AND(Y$22=TRUE,INDEX(CDRANGE_CLS1,MATCH($A48,$A$24:$A$67,0),MATCH(Y$20,$B$20:$G$20,0))&lt;$D$6/OPDAYS_Cls1),86,payback(C48,T48,disc_rate/12,85))</f>
        <v>5</v>
      </c>
      <c r="Z48" s="482">
        <f ca="1">IF(AND(Z$22=TRUE,INDEX(CDRANGE_CLS1,MATCH($A48,$A$24:$A$67,0),MATCH(Z$20,$B$20:$G$20,0))&lt;$D$6/OPDAYS_Cls1),86,payback(D48,U48,disc_rate/12,85))</f>
        <v>9</v>
      </c>
      <c r="AA48" s="482">
        <f>IF(AND(AA$22=TRUE,INDEX(CDRANGE_CLS1,MATCH($A48,$A$24:$A$67,0),MATCH(AA$20,$B$20:$G$20,0))&lt;$D$6/OPDAYS_Cls1),86,payback(E48,V48,disc_rate/12,85))</f>
        <v>86</v>
      </c>
      <c r="AB48" s="482">
        <f ca="1">IF(AND(AB$22=TRUE,INDEX(CDRANGE_CLS1,MATCH($A48,$A$24:$A$67,0),MATCH(AB$20,$B$20:$G$20,0))&lt;$D$6/OPDAYS_Cls1),86,payback(F48,W48,disc_rate/12,85))</f>
        <v>86</v>
      </c>
      <c r="AC48" s="483">
        <f ca="1">IF(AND(AC$22=TRUE,INDEX(CDRANGE_CLS1,MATCH($A48,$A$24:$A$67,0),MATCH(AC$20,$B$20:$G$20,0))&lt;$D$6/OPDAYS_Cls1),86,payback(G48,X48,disc_rate/12,85))</f>
        <v>86</v>
      </c>
      <c r="AD48" s="484">
        <f t="shared" si="35"/>
        <v>0</v>
      </c>
      <c r="AE48" s="485">
        <f t="shared" si="36"/>
        <v>0</v>
      </c>
      <c r="AF48" s="485">
        <f t="shared" si="37"/>
        <v>0</v>
      </c>
      <c r="AG48" s="485">
        <f t="shared" si="38"/>
        <v>0</v>
      </c>
      <c r="AH48" s="486">
        <f t="shared" si="39"/>
        <v>0</v>
      </c>
      <c r="AI48" s="992">
        <f t="shared" si="40"/>
        <v>0.44039853898894116</v>
      </c>
      <c r="AJ48" s="993">
        <f t="shared" si="41"/>
        <v>0.44039853898894116</v>
      </c>
      <c r="AK48" s="993">
        <f t="shared" si="42"/>
        <v>0.44039853898894116</v>
      </c>
      <c r="AL48" s="993">
        <f t="shared" si="43"/>
        <v>0.44039853898894116</v>
      </c>
      <c r="AM48" s="994">
        <f t="shared" si="44"/>
        <v>0.44039853898894116</v>
      </c>
      <c r="AN48" s="490">
        <f t="shared" si="66"/>
        <v>0.99927321624352572</v>
      </c>
      <c r="AO48" s="488">
        <f t="shared" si="67"/>
        <v>0.99127671520916449</v>
      </c>
      <c r="AP48" s="488">
        <f t="shared" si="68"/>
        <v>1.8723232990613958E-4</v>
      </c>
      <c r="AQ48" s="488">
        <f t="shared" si="69"/>
        <v>0.40379680502737569</v>
      </c>
      <c r="AR48" s="489">
        <f t="shared" si="70"/>
        <v>0.10175672877155895</v>
      </c>
      <c r="AS48" s="484">
        <f t="shared" ca="1" si="46"/>
        <v>0.88079707797788231</v>
      </c>
      <c r="AT48" s="485">
        <f t="shared" ca="1" si="47"/>
        <v>0.86018217360447413</v>
      </c>
      <c r="AU48" s="485">
        <f t="shared" si="48"/>
        <v>0</v>
      </c>
      <c r="AV48" s="485">
        <f t="shared" ca="1" si="49"/>
        <v>0</v>
      </c>
      <c r="AW48" s="486">
        <f t="shared" ca="1" si="50"/>
        <v>0</v>
      </c>
      <c r="AX48" s="484">
        <f t="shared" ca="1" si="51"/>
        <v>0.880156928968858</v>
      </c>
      <c r="AY48" s="485">
        <f t="shared" ca="1" si="52"/>
        <v>0.85267855953212235</v>
      </c>
      <c r="AZ48" s="485">
        <f t="shared" si="53"/>
        <v>0</v>
      </c>
      <c r="BA48" s="485">
        <f t="shared" ca="1" si="71"/>
        <v>0</v>
      </c>
      <c r="BB48" s="486">
        <f t="shared" ca="1" si="72"/>
        <v>0</v>
      </c>
      <c r="BC48" s="484">
        <f t="shared" ca="1" si="73"/>
        <v>0.119843071031142</v>
      </c>
      <c r="BD48" s="485">
        <f t="shared" ca="1" si="56"/>
        <v>0.44705699112963032</v>
      </c>
      <c r="BE48" s="485">
        <f t="shared" ca="1" si="57"/>
        <v>0.43309993783922773</v>
      </c>
      <c r="BF48" s="485">
        <f t="shared" ca="1" si="58"/>
        <v>0</v>
      </c>
      <c r="BG48" s="485">
        <f t="shared" ca="1" si="59"/>
        <v>0</v>
      </c>
      <c r="BH48" s="486">
        <f t="shared" ca="1" si="60"/>
        <v>0</v>
      </c>
    </row>
    <row r="49" spans="1:60" x14ac:dyDescent="0.2">
      <c r="A49" s="189">
        <v>2032</v>
      </c>
      <c r="B49" s="667">
        <f t="shared" si="76"/>
        <v>163647.29</v>
      </c>
      <c r="C49" s="668">
        <f t="shared" si="76"/>
        <v>2729.22</v>
      </c>
      <c r="D49" s="668">
        <f t="shared" si="76"/>
        <v>9179.4</v>
      </c>
      <c r="E49" s="668">
        <f t="shared" si="76"/>
        <v>264185.01</v>
      </c>
      <c r="F49" s="668">
        <f t="shared" si="76"/>
        <v>91197.5</v>
      </c>
      <c r="G49" s="669">
        <f t="shared" si="76"/>
        <v>137831.14000000001</v>
      </c>
      <c r="H49" s="628">
        <f t="shared" si="77"/>
        <v>1</v>
      </c>
      <c r="I49" s="629">
        <f t="shared" si="77"/>
        <v>1</v>
      </c>
      <c r="J49" s="629">
        <f t="shared" si="77"/>
        <v>1</v>
      </c>
      <c r="K49" s="629">
        <f t="shared" si="77"/>
        <v>1</v>
      </c>
      <c r="L49" s="629">
        <f t="shared" si="77"/>
        <v>1</v>
      </c>
      <c r="M49" s="630">
        <f t="shared" si="77"/>
        <v>0.74474135127174823</v>
      </c>
      <c r="N49" s="147">
        <f t="shared" si="28"/>
        <v>7882.6814559130607</v>
      </c>
      <c r="O49" s="148">
        <f t="shared" si="29"/>
        <v>7238.24519514644</v>
      </c>
      <c r="P49" s="148">
        <f t="shared" si="30"/>
        <v>6694.1525335543811</v>
      </c>
      <c r="Q49" s="148">
        <f t="shared" si="31"/>
        <v>11592.092305829878</v>
      </c>
      <c r="R49" s="148">
        <f t="shared" si="32"/>
        <v>11141.356018820292</v>
      </c>
      <c r="S49" s="150">
        <f t="shared" si="33"/>
        <v>8321.8259590087273</v>
      </c>
      <c r="T49" s="581">
        <f t="shared" si="61"/>
        <v>644.43626076662076</v>
      </c>
      <c r="U49" s="162">
        <f t="shared" si="62"/>
        <v>1188.5289223586797</v>
      </c>
      <c r="V49" s="162">
        <f t="shared" si="63"/>
        <v>-3709.4108499168169</v>
      </c>
      <c r="W49" s="162">
        <f t="shared" si="64"/>
        <v>-3258.6745629072311</v>
      </c>
      <c r="X49" s="163">
        <f t="shared" si="65"/>
        <v>-439.14450309566655</v>
      </c>
      <c r="Y49" s="165">
        <f ca="1">IF(AND(Y$22=TRUE,INDEX(CDRANGE_CLS1,MATCH($A49,$A$24:$A$67,0),MATCH(Y$20,$B$20:$G$20,0))&lt;$D$6/OPDAYS_Cls1),86,payback(C49,T49,disc_rate/12,85))</f>
        <v>5</v>
      </c>
      <c r="Z49" s="166">
        <f ca="1">IF(AND(Z$22=TRUE,INDEX(CDRANGE_CLS1,MATCH($A49,$A$24:$A$67,0),MATCH(Z$20,$B$20:$G$20,0))&lt;$D$6/OPDAYS_Cls1),86,payback(D49,U49,disc_rate/12,85))</f>
        <v>8</v>
      </c>
      <c r="AA49" s="166">
        <f>IF(AND(AA$22=TRUE,INDEX(CDRANGE_CLS1,MATCH($A49,$A$24:$A$67,0),MATCH(AA$20,$B$20:$G$20,0))&lt;$D$6/OPDAYS_Cls1),86,payback(E49,V49,disc_rate/12,85))</f>
        <v>86</v>
      </c>
      <c r="AB49" s="166">
        <f ca="1">IF(AND(AB$22=TRUE,INDEX(CDRANGE_CLS1,MATCH($A49,$A$24:$A$67,0),MATCH(AB$20,$B$20:$G$20,0))&lt;$D$6/OPDAYS_Cls1),86,payback(F49,W49,disc_rate/12,85))</f>
        <v>86</v>
      </c>
      <c r="AC49" s="439">
        <f ca="1">IF(AND(AC$22=TRUE,INDEX(CDRANGE_CLS1,MATCH($A49,$A$24:$A$67,0),MATCH(AC$20,$B$20:$G$20,0))&lt;$D$6/OPDAYS_Cls1),86,payback(G49,X49,disc_rate/12,85))</f>
        <v>86</v>
      </c>
      <c r="AD49" s="168">
        <f t="shared" si="35"/>
        <v>0</v>
      </c>
      <c r="AE49" s="169">
        <f t="shared" si="36"/>
        <v>0</v>
      </c>
      <c r="AF49" s="169">
        <f t="shared" si="37"/>
        <v>0</v>
      </c>
      <c r="AG49" s="169">
        <f t="shared" si="38"/>
        <v>0</v>
      </c>
      <c r="AH49" s="170">
        <f t="shared" si="39"/>
        <v>0</v>
      </c>
      <c r="AI49" s="986">
        <f t="shared" si="40"/>
        <v>0.47628706341121668</v>
      </c>
      <c r="AJ49" s="987">
        <f t="shared" si="41"/>
        <v>0.47628706341121668</v>
      </c>
      <c r="AK49" s="987">
        <f t="shared" si="42"/>
        <v>0.47628706341121668</v>
      </c>
      <c r="AL49" s="987">
        <f t="shared" si="43"/>
        <v>0.47628706341121668</v>
      </c>
      <c r="AM49" s="995">
        <f t="shared" si="44"/>
        <v>0.47628706341121668</v>
      </c>
      <c r="AN49" s="171">
        <f t="shared" si="66"/>
        <v>0.99922769437855674</v>
      </c>
      <c r="AO49" s="172">
        <f t="shared" si="67"/>
        <v>0.99129814219959378</v>
      </c>
      <c r="AP49" s="172">
        <f t="shared" si="68"/>
        <v>7.1781844489149371E-4</v>
      </c>
      <c r="AQ49" s="172">
        <f t="shared" si="69"/>
        <v>0.42203287922899368</v>
      </c>
      <c r="AR49" s="445">
        <f t="shared" si="70"/>
        <v>0.13938833363257119</v>
      </c>
      <c r="AS49" s="168">
        <f t="shared" ca="1" si="46"/>
        <v>0.95257412682243336</v>
      </c>
      <c r="AT49" s="169">
        <f t="shared" ca="1" si="47"/>
        <v>0.94176237239319482</v>
      </c>
      <c r="AU49" s="169">
        <f t="shared" si="48"/>
        <v>0</v>
      </c>
      <c r="AV49" s="169">
        <f t="shared" ca="1" si="49"/>
        <v>0</v>
      </c>
      <c r="AW49" s="170">
        <f t="shared" ca="1" si="50"/>
        <v>0</v>
      </c>
      <c r="AX49" s="168">
        <f t="shared" ca="1" si="51"/>
        <v>0.95183844846944698</v>
      </c>
      <c r="AY49" s="169">
        <f t="shared" ca="1" si="52"/>
        <v>0.93356729014685602</v>
      </c>
      <c r="AZ49" s="169">
        <f t="shared" si="53"/>
        <v>0</v>
      </c>
      <c r="BA49" s="169">
        <f t="shared" ca="1" si="71"/>
        <v>0</v>
      </c>
      <c r="BB49" s="170">
        <f t="shared" ca="1" si="72"/>
        <v>0</v>
      </c>
      <c r="BC49" s="168">
        <f t="shared" ca="1" si="73"/>
        <v>4.8161551530553015E-2</v>
      </c>
      <c r="BD49" s="169">
        <f t="shared" ca="1" si="56"/>
        <v>0.4805312795163304</v>
      </c>
      <c r="BE49" s="169">
        <f t="shared" ca="1" si="57"/>
        <v>0.47130716895311658</v>
      </c>
      <c r="BF49" s="169">
        <f t="shared" ca="1" si="58"/>
        <v>0</v>
      </c>
      <c r="BG49" s="169">
        <f t="shared" ca="1" si="59"/>
        <v>0</v>
      </c>
      <c r="BH49" s="170">
        <f t="shared" ca="1" si="60"/>
        <v>0</v>
      </c>
    </row>
    <row r="50" spans="1:60" x14ac:dyDescent="0.2">
      <c r="A50" s="189">
        <v>2033</v>
      </c>
      <c r="B50" s="667">
        <f t="shared" si="76"/>
        <v>163724.32</v>
      </c>
      <c r="C50" s="668">
        <f t="shared" si="76"/>
        <v>2774.18</v>
      </c>
      <c r="D50" s="668">
        <f t="shared" si="76"/>
        <v>9181.17</v>
      </c>
      <c r="E50" s="668">
        <f t="shared" si="76"/>
        <v>252144.72</v>
      </c>
      <c r="F50" s="668">
        <f t="shared" si="76"/>
        <v>90069.8</v>
      </c>
      <c r="G50" s="669">
        <f t="shared" si="76"/>
        <v>132411.63</v>
      </c>
      <c r="H50" s="628">
        <f t="shared" si="77"/>
        <v>1</v>
      </c>
      <c r="I50" s="629">
        <f t="shared" si="77"/>
        <v>1</v>
      </c>
      <c r="J50" s="629">
        <f t="shared" si="77"/>
        <v>1</v>
      </c>
      <c r="K50" s="629">
        <f t="shared" si="77"/>
        <v>1</v>
      </c>
      <c r="L50" s="629">
        <f t="shared" si="77"/>
        <v>1</v>
      </c>
      <c r="M50" s="630">
        <f t="shared" si="77"/>
        <v>0.74464915140019305</v>
      </c>
      <c r="N50" s="147">
        <f t="shared" si="28"/>
        <v>7991.5170051416526</v>
      </c>
      <c r="O50" s="148">
        <f t="shared" si="29"/>
        <v>7298.3473398155802</v>
      </c>
      <c r="P50" s="148">
        <f t="shared" si="30"/>
        <v>6747.9946043242344</v>
      </c>
      <c r="Q50" s="148">
        <f t="shared" si="31"/>
        <v>11588.568834181639</v>
      </c>
      <c r="R50" s="148">
        <f t="shared" si="32"/>
        <v>10871.664981367026</v>
      </c>
      <c r="S50" s="150">
        <f t="shared" si="33"/>
        <v>8372.7021257514243</v>
      </c>
      <c r="T50" s="581">
        <f t="shared" si="61"/>
        <v>693.16966532607239</v>
      </c>
      <c r="U50" s="162">
        <f t="shared" si="62"/>
        <v>1243.5224008174182</v>
      </c>
      <c r="V50" s="162">
        <f t="shared" si="63"/>
        <v>-3597.0518290399859</v>
      </c>
      <c r="W50" s="162">
        <f t="shared" si="64"/>
        <v>-2880.1479762253739</v>
      </c>
      <c r="X50" s="163">
        <f t="shared" si="65"/>
        <v>-381.18512060977173</v>
      </c>
      <c r="Y50" s="165">
        <f ca="1">IF(AND(Y$22=TRUE,INDEX(CDRANGE_CLS1,MATCH($A50,$A$24:$A$67,0),MATCH(Y$20,$B$20:$G$20,0))&lt;$D$6/OPDAYS_Cls1),86,payback(C50,T50,disc_rate/12,85))</f>
        <v>5</v>
      </c>
      <c r="Z50" s="166">
        <f ca="1">IF(AND(Z$22=TRUE,INDEX(CDRANGE_CLS1,MATCH($A50,$A$24:$A$67,0),MATCH(Z$20,$B$20:$G$20,0))&lt;$D$6/OPDAYS_Cls1),86,payback(D50,U50,disc_rate/12,85))</f>
        <v>8</v>
      </c>
      <c r="AA50" s="166">
        <f>IF(AND(AA$22=TRUE,INDEX(CDRANGE_CLS1,MATCH($A50,$A$24:$A$67,0),MATCH(AA$20,$B$20:$G$20,0))&lt;$D$6/OPDAYS_Cls1),86,payback(E50,V50,disc_rate/12,85))</f>
        <v>86</v>
      </c>
      <c r="AB50" s="166">
        <f ca="1">IF(AND(AB$22=TRUE,INDEX(CDRANGE_CLS1,MATCH($A50,$A$24:$A$67,0),MATCH(AB$20,$B$20:$G$20,0))&lt;$D$6/OPDAYS_Cls1),86,payback(F50,W50,disc_rate/12,85))</f>
        <v>86</v>
      </c>
      <c r="AC50" s="439">
        <f ca="1">IF(AND(AC$22=TRUE,INDEX(CDRANGE_CLS1,MATCH($A50,$A$24:$A$67,0),MATCH(AC$20,$B$20:$G$20,0))&lt;$D$6/OPDAYS_Cls1),86,payback(G50,X50,disc_rate/12,85))</f>
        <v>86</v>
      </c>
      <c r="AD50" s="168">
        <f t="shared" si="35"/>
        <v>0</v>
      </c>
      <c r="AE50" s="169">
        <f t="shared" si="36"/>
        <v>0</v>
      </c>
      <c r="AF50" s="169">
        <f t="shared" si="37"/>
        <v>0</v>
      </c>
      <c r="AG50" s="169">
        <f t="shared" si="38"/>
        <v>0</v>
      </c>
      <c r="AH50" s="170">
        <f t="shared" si="39"/>
        <v>0</v>
      </c>
      <c r="AI50" s="986">
        <f t="shared" si="40"/>
        <v>0.49100689501895423</v>
      </c>
      <c r="AJ50" s="987">
        <f t="shared" si="41"/>
        <v>0.49100689501895423</v>
      </c>
      <c r="AK50" s="987">
        <f t="shared" si="42"/>
        <v>0.49100689501895423</v>
      </c>
      <c r="AL50" s="987">
        <f t="shared" si="43"/>
        <v>0.49100689501895423</v>
      </c>
      <c r="AM50" s="995">
        <f t="shared" si="44"/>
        <v>0.49100689501895423</v>
      </c>
      <c r="AN50" s="171">
        <f t="shared" si="66"/>
        <v>0.99920280013930751</v>
      </c>
      <c r="AO50" s="172">
        <f t="shared" si="67"/>
        <v>0.99130295439511829</v>
      </c>
      <c r="AP50" s="172">
        <f t="shared" si="68"/>
        <v>1.3764300496651449E-3</v>
      </c>
      <c r="AQ50" s="172">
        <f t="shared" si="69"/>
        <v>0.43141807072644034</v>
      </c>
      <c r="AR50" s="445">
        <f t="shared" si="70"/>
        <v>0.16253401363147557</v>
      </c>
      <c r="AS50" s="168">
        <f t="shared" ca="1" si="46"/>
        <v>0.98201379003790845</v>
      </c>
      <c r="AT50" s="169">
        <f t="shared" ca="1" si="47"/>
        <v>0.97086789425399456</v>
      </c>
      <c r="AU50" s="169">
        <f t="shared" si="48"/>
        <v>0</v>
      </c>
      <c r="AV50" s="169">
        <f t="shared" ca="1" si="49"/>
        <v>0</v>
      </c>
      <c r="AW50" s="170">
        <f t="shared" ca="1" si="50"/>
        <v>0</v>
      </c>
      <c r="AX50" s="168">
        <f t="shared" ca="1" si="51"/>
        <v>0.98123092878129214</v>
      </c>
      <c r="AY50" s="169">
        <f t="shared" ca="1" si="52"/>
        <v>0.96242421190135208</v>
      </c>
      <c r="AZ50" s="169">
        <f t="shared" si="53"/>
        <v>0</v>
      </c>
      <c r="BA50" s="169">
        <f t="shared" ca="1" si="71"/>
        <v>0</v>
      </c>
      <c r="BB50" s="170">
        <f t="shared" ca="1" si="72"/>
        <v>0</v>
      </c>
      <c r="BC50" s="168">
        <f t="shared" ca="1" si="73"/>
        <v>1.8769071218707856E-2</v>
      </c>
      <c r="BD50" s="169">
        <f t="shared" ca="1" si="56"/>
        <v>0.49536263684042264</v>
      </c>
      <c r="BE50" s="169">
        <f t="shared" ca="1" si="57"/>
        <v>0.4858682919408695</v>
      </c>
      <c r="BF50" s="169">
        <f t="shared" ca="1" si="58"/>
        <v>0</v>
      </c>
      <c r="BG50" s="169">
        <f t="shared" ca="1" si="59"/>
        <v>0</v>
      </c>
      <c r="BH50" s="170">
        <f t="shared" ca="1" si="60"/>
        <v>0</v>
      </c>
    </row>
    <row r="51" spans="1:60" x14ac:dyDescent="0.2">
      <c r="A51" s="189">
        <v>2034</v>
      </c>
      <c r="B51" s="667">
        <f t="shared" si="76"/>
        <v>163799.76999999999</v>
      </c>
      <c r="C51" s="668">
        <f t="shared" si="76"/>
        <v>2795.49</v>
      </c>
      <c r="D51" s="668">
        <f t="shared" si="76"/>
        <v>9182.01</v>
      </c>
      <c r="E51" s="668">
        <f t="shared" si="76"/>
        <v>246436.1</v>
      </c>
      <c r="F51" s="668">
        <f t="shared" si="76"/>
        <v>89535.13</v>
      </c>
      <c r="G51" s="669">
        <f t="shared" si="76"/>
        <v>129842.1</v>
      </c>
      <c r="H51" s="628">
        <f t="shared" si="77"/>
        <v>1</v>
      </c>
      <c r="I51" s="629">
        <f t="shared" si="77"/>
        <v>1</v>
      </c>
      <c r="J51" s="629">
        <f t="shared" si="77"/>
        <v>1</v>
      </c>
      <c r="K51" s="629">
        <f t="shared" si="77"/>
        <v>1</v>
      </c>
      <c r="L51" s="629">
        <f t="shared" si="77"/>
        <v>1</v>
      </c>
      <c r="M51" s="630">
        <f t="shared" si="77"/>
        <v>0.74460543700446802</v>
      </c>
      <c r="N51" s="147">
        <f t="shared" si="28"/>
        <v>8038.3215066515659</v>
      </c>
      <c r="O51" s="148">
        <f t="shared" si="29"/>
        <v>7330.6091992065021</v>
      </c>
      <c r="P51" s="148">
        <f t="shared" si="30"/>
        <v>6777.003617609128</v>
      </c>
      <c r="Q51" s="148">
        <f t="shared" si="31"/>
        <v>11582.729665405102</v>
      </c>
      <c r="R51" s="148">
        <f t="shared" si="32"/>
        <v>10631.377511215354</v>
      </c>
      <c r="S51" s="150">
        <f t="shared" si="33"/>
        <v>8398.5958011607781</v>
      </c>
      <c r="T51" s="581">
        <f t="shared" si="61"/>
        <v>707.71230744506374</v>
      </c>
      <c r="U51" s="162">
        <f t="shared" si="62"/>
        <v>1261.3178890424379</v>
      </c>
      <c r="V51" s="162">
        <f t="shared" si="63"/>
        <v>-3544.4081587535366</v>
      </c>
      <c r="W51" s="162">
        <f t="shared" si="64"/>
        <v>-2593.0560045637885</v>
      </c>
      <c r="X51" s="163">
        <f t="shared" si="65"/>
        <v>-360.27429450921227</v>
      </c>
      <c r="Y51" s="165">
        <f ca="1">IF(AND(Y$22=TRUE,INDEX(CDRANGE_CLS1,MATCH($A51,$A$24:$A$67,0),MATCH(Y$20,$B$20:$G$20,0))&lt;$D$6/OPDAYS_Cls1),86,payback(C51,T51,disc_rate/12,85))</f>
        <v>5</v>
      </c>
      <c r="Z51" s="166">
        <f ca="1">IF(AND(Z$22=TRUE,INDEX(CDRANGE_CLS1,MATCH($A51,$A$24:$A$67,0),MATCH(Z$20,$B$20:$G$20,0))&lt;$D$6/OPDAYS_Cls1),86,payback(D51,U51,disc_rate/12,85))</f>
        <v>8</v>
      </c>
      <c r="AA51" s="166">
        <f>IF(AND(AA$22=TRUE,INDEX(CDRANGE_CLS1,MATCH($A51,$A$24:$A$67,0),MATCH(AA$20,$B$20:$G$20,0))&lt;$D$6/OPDAYS_Cls1),86,payback(E51,V51,disc_rate/12,85))</f>
        <v>86</v>
      </c>
      <c r="AB51" s="166">
        <f ca="1">IF(AND(AB$22=TRUE,INDEX(CDRANGE_CLS1,MATCH($A51,$A$24:$A$67,0),MATCH(AB$20,$B$20:$G$20,0))&lt;$D$6/OPDAYS_Cls1),86,payback(F51,W51,disc_rate/12,85))</f>
        <v>86</v>
      </c>
      <c r="AC51" s="439">
        <f ca="1">IF(AND(AC$22=TRUE,INDEX(CDRANGE_CLS1,MATCH($A51,$A$24:$A$67,0),MATCH(AC$20,$B$20:$G$20,0))&lt;$D$6/OPDAYS_Cls1),86,payback(G51,X51,disc_rate/12,85))</f>
        <v>86</v>
      </c>
      <c r="AD51" s="168">
        <f t="shared" si="35"/>
        <v>0</v>
      </c>
      <c r="AE51" s="169">
        <f t="shared" si="36"/>
        <v>0</v>
      </c>
      <c r="AF51" s="169">
        <f t="shared" si="37"/>
        <v>0</v>
      </c>
      <c r="AG51" s="169">
        <f t="shared" si="38"/>
        <v>0</v>
      </c>
      <c r="AH51" s="170">
        <f t="shared" si="39"/>
        <v>0</v>
      </c>
      <c r="AI51" s="986">
        <f t="shared" si="40"/>
        <v>0.49665357453785763</v>
      </c>
      <c r="AJ51" s="987">
        <f t="shared" si="41"/>
        <v>0.49665357453785763</v>
      </c>
      <c r="AK51" s="987">
        <f t="shared" si="42"/>
        <v>0.49665357453785763</v>
      </c>
      <c r="AL51" s="987">
        <f t="shared" si="43"/>
        <v>0.49665357453785763</v>
      </c>
      <c r="AM51" s="995">
        <f t="shared" si="44"/>
        <v>0.49665357453785763</v>
      </c>
      <c r="AN51" s="171">
        <f t="shared" si="66"/>
        <v>0.99919125588334312</v>
      </c>
      <c r="AO51" s="172">
        <f t="shared" si="67"/>
        <v>0.99130934667485238</v>
      </c>
      <c r="AP51" s="172">
        <f t="shared" si="68"/>
        <v>1.8593601056235975E-3</v>
      </c>
      <c r="AQ51" s="172">
        <f t="shared" si="69"/>
        <v>0.43606614610211469</v>
      </c>
      <c r="AR51" s="445">
        <f t="shared" si="70"/>
        <v>0.17457022373323294</v>
      </c>
      <c r="AS51" s="168">
        <f t="shared" ca="1" si="46"/>
        <v>0.99330714907571527</v>
      </c>
      <c r="AT51" s="169">
        <f t="shared" ca="1" si="47"/>
        <v>0.98203307321514388</v>
      </c>
      <c r="AU51" s="169">
        <f t="shared" si="48"/>
        <v>0</v>
      </c>
      <c r="AV51" s="169">
        <f t="shared" ca="1" si="49"/>
        <v>0</v>
      </c>
      <c r="AW51" s="170">
        <f t="shared" ca="1" si="50"/>
        <v>0</v>
      </c>
      <c r="AX51" s="168">
        <f t="shared" ca="1" si="51"/>
        <v>0.99250381776286711</v>
      </c>
      <c r="AY51" s="169">
        <f t="shared" ca="1" si="52"/>
        <v>0.97349856422200176</v>
      </c>
      <c r="AZ51" s="169">
        <f t="shared" si="53"/>
        <v>0</v>
      </c>
      <c r="BA51" s="169">
        <f t="shared" ca="1" si="71"/>
        <v>0</v>
      </c>
      <c r="BB51" s="170">
        <f t="shared" ca="1" si="72"/>
        <v>0</v>
      </c>
      <c r="BC51" s="168">
        <f t="shared" ca="1" si="73"/>
        <v>7.4961822371327758E-3</v>
      </c>
      <c r="BD51" s="169">
        <f t="shared" ca="1" si="56"/>
        <v>0.50104915299204766</v>
      </c>
      <c r="BE51" s="169">
        <f t="shared" ca="1" si="57"/>
        <v>0.49145466477081956</v>
      </c>
      <c r="BF51" s="169">
        <f t="shared" ca="1" si="58"/>
        <v>0</v>
      </c>
      <c r="BG51" s="169">
        <f t="shared" ca="1" si="59"/>
        <v>0</v>
      </c>
      <c r="BH51" s="170">
        <f t="shared" ca="1" si="60"/>
        <v>0</v>
      </c>
    </row>
    <row r="52" spans="1:60" ht="13.5" thickBot="1" x14ac:dyDescent="0.25">
      <c r="A52" s="174">
        <v>2035</v>
      </c>
      <c r="B52" s="670">
        <f t="shared" si="76"/>
        <v>163848.29</v>
      </c>
      <c r="C52" s="671">
        <f t="shared" si="76"/>
        <v>2812.69</v>
      </c>
      <c r="D52" s="671">
        <f t="shared" si="76"/>
        <v>9182.69</v>
      </c>
      <c r="E52" s="671">
        <f t="shared" si="76"/>
        <v>241829.69</v>
      </c>
      <c r="F52" s="671">
        <f t="shared" si="76"/>
        <v>89103.69</v>
      </c>
      <c r="G52" s="672">
        <f t="shared" si="76"/>
        <v>127768.69</v>
      </c>
      <c r="H52" s="628">
        <f t="shared" si="77"/>
        <v>1</v>
      </c>
      <c r="I52" s="629">
        <f t="shared" si="77"/>
        <v>1</v>
      </c>
      <c r="J52" s="629">
        <f t="shared" si="77"/>
        <v>1</v>
      </c>
      <c r="K52" s="629">
        <f t="shared" si="77"/>
        <v>1</v>
      </c>
      <c r="L52" s="629">
        <f t="shared" si="77"/>
        <v>1</v>
      </c>
      <c r="M52" s="630">
        <f t="shared" si="77"/>
        <v>0.74457016286322153</v>
      </c>
      <c r="N52" s="625">
        <f t="shared" si="28"/>
        <v>8098.9126324083218</v>
      </c>
      <c r="O52" s="626">
        <f t="shared" si="29"/>
        <v>7374.7507610152688</v>
      </c>
      <c r="P52" s="626">
        <f t="shared" si="30"/>
        <v>6817.1504061131254</v>
      </c>
      <c r="Q52" s="626">
        <f t="shared" si="31"/>
        <v>11451.020236798558</v>
      </c>
      <c r="R52" s="626">
        <f t="shared" si="32"/>
        <v>10396.749477209491</v>
      </c>
      <c r="S52" s="627">
        <f t="shared" si="33"/>
        <v>8401.2294232437816</v>
      </c>
      <c r="T52" s="584">
        <f t="shared" si="61"/>
        <v>724.16187139305293</v>
      </c>
      <c r="U52" s="176">
        <f t="shared" si="62"/>
        <v>1281.7622262951963</v>
      </c>
      <c r="V52" s="176">
        <f t="shared" si="63"/>
        <v>-3352.1076043902367</v>
      </c>
      <c r="W52" s="176">
        <f t="shared" si="64"/>
        <v>-2297.8368448011688</v>
      </c>
      <c r="X52" s="177">
        <f t="shared" si="65"/>
        <v>-302.31679083545987</v>
      </c>
      <c r="Y52" s="179">
        <f ca="1">IF(AND(Y$22=TRUE,INDEX(CDRANGE_CLS1,MATCH($A52,$A$24:$A$67,0),MATCH(Y$20,$B$20:$G$20,0))&lt;$D$6/OPDAYS_Cls1),86,payback(C52,T52,disc_rate/12,85))</f>
        <v>4</v>
      </c>
      <c r="Z52" s="180">
        <f ca="1">IF(AND(Z$22=TRUE,INDEX(CDRANGE_CLS1,MATCH($A52,$A$24:$A$67,0),MATCH(Z$20,$B$20:$G$20,0))&lt;$D$6/OPDAYS_Cls1),86,payback(D52,U52,disc_rate/12,85))</f>
        <v>8</v>
      </c>
      <c r="AA52" s="180">
        <f>IF(AND(AA$22=TRUE,INDEX(CDRANGE_CLS1,MATCH($A52,$A$24:$A$67,0),MATCH(AA$20,$B$20:$G$20,0))&lt;$D$6/OPDAYS_Cls1),86,payback(E52,V52,disc_rate/12,85))</f>
        <v>86</v>
      </c>
      <c r="AB52" s="180">
        <f ca="1">IF(AND(AB$22=TRUE,INDEX(CDRANGE_CLS1,MATCH($A52,$A$24:$A$67,0),MATCH(AB$20,$B$20:$G$20,0))&lt;$D$6/OPDAYS_Cls1),86,payback(F52,W52,disc_rate/12,85))</f>
        <v>86</v>
      </c>
      <c r="AC52" s="440">
        <f ca="1">IF(AND(AC$22=TRUE,INDEX(CDRANGE_CLS1,MATCH($A52,$A$24:$A$67,0),MATCH(AC$20,$B$20:$G$20,0))&lt;$D$6/OPDAYS_Cls1),86,payback(G52,X52,disc_rate/12,85))</f>
        <v>86</v>
      </c>
      <c r="AD52" s="182">
        <f t="shared" si="35"/>
        <v>0</v>
      </c>
      <c r="AE52" s="183">
        <f t="shared" si="36"/>
        <v>0</v>
      </c>
      <c r="AF52" s="183">
        <f t="shared" si="37"/>
        <v>0</v>
      </c>
      <c r="AG52" s="183">
        <f t="shared" si="38"/>
        <v>0</v>
      </c>
      <c r="AH52" s="184">
        <f t="shared" si="39"/>
        <v>0</v>
      </c>
      <c r="AI52" s="989">
        <f t="shared" si="40"/>
        <v>0.49876368842168267</v>
      </c>
      <c r="AJ52" s="990">
        <f t="shared" si="41"/>
        <v>0.49876368842168267</v>
      </c>
      <c r="AK52" s="990">
        <f t="shared" si="42"/>
        <v>0.49876368842168267</v>
      </c>
      <c r="AL52" s="990">
        <f t="shared" si="43"/>
        <v>0.49876368842168267</v>
      </c>
      <c r="AM52" s="996">
        <f t="shared" si="44"/>
        <v>0.49876368842168267</v>
      </c>
      <c r="AN52" s="185">
        <f t="shared" si="66"/>
        <v>0.99918176194823172</v>
      </c>
      <c r="AO52" s="186">
        <f t="shared" si="67"/>
        <v>0.99131318967604076</v>
      </c>
      <c r="AP52" s="186">
        <f t="shared" si="68"/>
        <v>2.3553163523428733E-3</v>
      </c>
      <c r="AQ52" s="186">
        <f t="shared" si="69"/>
        <v>0.43977359506567937</v>
      </c>
      <c r="AR52" s="446">
        <f t="shared" si="70"/>
        <v>0.18468049825947064</v>
      </c>
      <c r="AS52" s="182">
        <f t="shared" ca="1" si="46"/>
        <v>0.99752737684336534</v>
      </c>
      <c r="AT52" s="183">
        <f t="shared" ca="1" si="47"/>
        <v>0.98620540122888034</v>
      </c>
      <c r="AU52" s="183">
        <f t="shared" si="48"/>
        <v>0</v>
      </c>
      <c r="AV52" s="183">
        <f t="shared" ca="1" si="49"/>
        <v>0</v>
      </c>
      <c r="AW52" s="184">
        <f t="shared" ca="1" si="50"/>
        <v>0</v>
      </c>
      <c r="AX52" s="182">
        <f t="shared" ca="1" si="51"/>
        <v>0.99671116198595155</v>
      </c>
      <c r="AY52" s="183">
        <f t="shared" ca="1" si="52"/>
        <v>0.97763842196794093</v>
      </c>
      <c r="AZ52" s="183">
        <f t="shared" si="53"/>
        <v>0</v>
      </c>
      <c r="BA52" s="183">
        <f t="shared" ca="1" si="71"/>
        <v>0</v>
      </c>
      <c r="BB52" s="184">
        <f t="shared" ca="1" si="72"/>
        <v>0</v>
      </c>
      <c r="BC52" s="182">
        <f t="shared" ca="1" si="73"/>
        <v>3.2888380140485562E-3</v>
      </c>
      <c r="BD52" s="183">
        <f t="shared" ca="1" si="56"/>
        <v>0.50316982792779086</v>
      </c>
      <c r="BE52" s="183">
        <f t="shared" ca="1" si="57"/>
        <v>0.49354133405816059</v>
      </c>
      <c r="BF52" s="183">
        <f t="shared" ca="1" si="58"/>
        <v>0</v>
      </c>
      <c r="BG52" s="183">
        <f t="shared" ca="1" si="59"/>
        <v>0</v>
      </c>
      <c r="BH52" s="184">
        <f t="shared" ca="1" si="60"/>
        <v>0</v>
      </c>
    </row>
    <row r="53" spans="1:60" x14ac:dyDescent="0.2">
      <c r="A53" s="188">
        <v>2036</v>
      </c>
      <c r="B53" s="673">
        <f t="shared" si="76"/>
        <v>163848.29</v>
      </c>
      <c r="C53" s="674">
        <f t="shared" si="76"/>
        <v>3006.13</v>
      </c>
      <c r="D53" s="674">
        <f t="shared" si="76"/>
        <v>9292.33</v>
      </c>
      <c r="E53" s="674">
        <f t="shared" si="76"/>
        <v>234468.99</v>
      </c>
      <c r="F53" s="674">
        <f t="shared" si="76"/>
        <v>86753.9</v>
      </c>
      <c r="G53" s="675">
        <f t="shared" si="76"/>
        <v>124643.58</v>
      </c>
      <c r="H53" s="628">
        <f t="shared" si="77"/>
        <v>1</v>
      </c>
      <c r="I53" s="629">
        <f t="shared" si="77"/>
        <v>1</v>
      </c>
      <c r="J53" s="629">
        <f t="shared" si="77"/>
        <v>1</v>
      </c>
      <c r="K53" s="629">
        <f t="shared" si="77"/>
        <v>1</v>
      </c>
      <c r="L53" s="629">
        <f t="shared" si="77"/>
        <v>1</v>
      </c>
      <c r="M53" s="630">
        <f t="shared" si="77"/>
        <v>0.74030170385203231</v>
      </c>
      <c r="N53" s="147">
        <f t="shared" si="28"/>
        <v>8166.8208860109962</v>
      </c>
      <c r="O53" s="148">
        <f t="shared" si="29"/>
        <v>7383.1273719957562</v>
      </c>
      <c r="P53" s="148">
        <f t="shared" si="30"/>
        <v>6791.3610910404304</v>
      </c>
      <c r="Q53" s="148">
        <f t="shared" si="31"/>
        <v>11199.308299551494</v>
      </c>
      <c r="R53" s="148">
        <f t="shared" si="32"/>
        <v>10016.016943188804</v>
      </c>
      <c r="S53" s="150">
        <f t="shared" si="33"/>
        <v>8327.6426413501486</v>
      </c>
      <c r="T53" s="580">
        <f t="shared" si="61"/>
        <v>783.69351401524</v>
      </c>
      <c r="U53" s="148">
        <f t="shared" si="62"/>
        <v>1375.4597949705658</v>
      </c>
      <c r="V53" s="148">
        <f t="shared" si="63"/>
        <v>-3032.487413540498</v>
      </c>
      <c r="W53" s="148">
        <f t="shared" si="64"/>
        <v>-1849.1960571778081</v>
      </c>
      <c r="X53" s="149">
        <f t="shared" si="65"/>
        <v>-160.82175533915233</v>
      </c>
      <c r="Y53" s="151">
        <f ca="1">IF(AND(Y$22=TRUE,INDEX(CDRANGE_CLS1,MATCH($A53,$A$24:$A$67,0),MATCH(Y$20,$B$20:$G$20,0))&lt;$D$6/OPDAYS_Cls1),86,payback(C53,T53,disc_rate/12,85))</f>
        <v>4</v>
      </c>
      <c r="Z53" s="152">
        <f ca="1">IF(AND(Z$22=TRUE,INDEX(CDRANGE_CLS1,MATCH($A53,$A$24:$A$67,0),MATCH(Z$20,$B$20:$G$20,0))&lt;$D$6/OPDAYS_Cls1),86,payback(D53,U53,disc_rate/12,85))</f>
        <v>7</v>
      </c>
      <c r="AA53" s="152">
        <f>IF(AND(AA$22=TRUE,INDEX(CDRANGE_CLS1,MATCH($A53,$A$24:$A$67,0),MATCH(AA$20,$B$20:$G$20,0))&lt;$D$6/OPDAYS_Cls1),86,payback(E53,V53,disc_rate/12,85))</f>
        <v>86</v>
      </c>
      <c r="AB53" s="152">
        <f ca="1">IF(AND(AB$22=TRUE,INDEX(CDRANGE_CLS1,MATCH($A53,$A$24:$A$67,0),MATCH(AB$20,$B$20:$G$20,0))&lt;$D$6/OPDAYS_Cls1),86,payback(F53,W53,disc_rate/12,85))</f>
        <v>86</v>
      </c>
      <c r="AC53" s="457">
        <f ca="1">IF(AND(AC$22=TRUE,INDEX(CDRANGE_CLS1,MATCH($A53,$A$24:$A$67,0),MATCH(AC$20,$B$20:$G$20,0))&lt;$D$6/OPDAYS_Cls1),86,payback(G53,X53,disc_rate/12,85))</f>
        <v>86</v>
      </c>
      <c r="AD53" s="154">
        <f t="shared" si="35"/>
        <v>0</v>
      </c>
      <c r="AE53" s="155">
        <f t="shared" si="36"/>
        <v>0</v>
      </c>
      <c r="AF53" s="155">
        <f t="shared" si="37"/>
        <v>0</v>
      </c>
      <c r="AG53" s="155">
        <f t="shared" si="38"/>
        <v>0</v>
      </c>
      <c r="AH53" s="156">
        <f t="shared" si="39"/>
        <v>0</v>
      </c>
      <c r="AI53" s="983">
        <f t="shared" si="40"/>
        <v>0.4995444744027997</v>
      </c>
      <c r="AJ53" s="984">
        <f t="shared" si="41"/>
        <v>0.4995444744027997</v>
      </c>
      <c r="AK53" s="984">
        <f t="shared" si="42"/>
        <v>0.4995444744027997</v>
      </c>
      <c r="AL53" s="984">
        <f t="shared" si="43"/>
        <v>0.4995444744027997</v>
      </c>
      <c r="AM53" s="997">
        <f t="shared" si="44"/>
        <v>0.4995444744027997</v>
      </c>
      <c r="AN53" s="157">
        <f t="shared" si="66"/>
        <v>0.9990653991684143</v>
      </c>
      <c r="AO53" s="158">
        <f t="shared" si="67"/>
        <v>0.99110544352289087</v>
      </c>
      <c r="AP53" s="158">
        <f t="shared" si="68"/>
        <v>3.3852542549035469E-3</v>
      </c>
      <c r="AQ53" s="158">
        <f t="shared" si="69"/>
        <v>0.45898462124881212</v>
      </c>
      <c r="AR53" s="458">
        <f t="shared" si="70"/>
        <v>0.20038608937542923</v>
      </c>
      <c r="AS53" s="154">
        <f t="shared" ca="1" si="46"/>
        <v>0.9990889488055994</v>
      </c>
      <c r="AT53" s="155">
        <f t="shared" ca="1" si="47"/>
        <v>0.99581921582316801</v>
      </c>
      <c r="AU53" s="155">
        <f t="shared" si="48"/>
        <v>0</v>
      </c>
      <c r="AV53" s="155">
        <f t="shared" ca="1" si="49"/>
        <v>0</v>
      </c>
      <c r="AW53" s="156">
        <f t="shared" ca="1" si="50"/>
        <v>0</v>
      </c>
      <c r="AX53" s="154">
        <f t="shared" ca="1" si="51"/>
        <v>0.99815519944321762</v>
      </c>
      <c r="AY53" s="155">
        <f t="shared" ca="1" si="52"/>
        <v>0.98696184556703836</v>
      </c>
      <c r="AZ53" s="155">
        <f t="shared" si="53"/>
        <v>0</v>
      </c>
      <c r="BA53" s="155">
        <f t="shared" ca="1" si="71"/>
        <v>0</v>
      </c>
      <c r="BB53" s="156">
        <f t="shared" ca="1" si="72"/>
        <v>0</v>
      </c>
      <c r="BC53" s="154">
        <f t="shared" ca="1" si="73"/>
        <v>1.8448005567822667E-3</v>
      </c>
      <c r="BD53" s="155">
        <f t="shared" ca="1" si="56"/>
        <v>0.50189171700471813</v>
      </c>
      <c r="BE53" s="155">
        <f t="shared" ca="1" si="57"/>
        <v>0.4962634824384996</v>
      </c>
      <c r="BF53" s="155">
        <f t="shared" ca="1" si="58"/>
        <v>0</v>
      </c>
      <c r="BG53" s="155">
        <f t="shared" ca="1" si="59"/>
        <v>0</v>
      </c>
      <c r="BH53" s="156">
        <f t="shared" ca="1" si="60"/>
        <v>0</v>
      </c>
    </row>
    <row r="54" spans="1:60" x14ac:dyDescent="0.2">
      <c r="A54" s="189">
        <v>2037</v>
      </c>
      <c r="B54" s="667">
        <f t="shared" ref="B54:G67" si="78">ROUND(INDEX(COST_Cls1,$A54-($A$24-1),MATCH(B$20,TECHOPTS_Cls1,0)),2)</f>
        <v>163848.29</v>
      </c>
      <c r="C54" s="668">
        <f t="shared" si="78"/>
        <v>3124.08</v>
      </c>
      <c r="D54" s="668">
        <f t="shared" si="78"/>
        <v>9359.19</v>
      </c>
      <c r="E54" s="668">
        <f t="shared" si="78"/>
        <v>229980.86</v>
      </c>
      <c r="F54" s="668">
        <f t="shared" si="78"/>
        <v>85321.14</v>
      </c>
      <c r="G54" s="669">
        <f t="shared" si="78"/>
        <v>122738.08</v>
      </c>
      <c r="H54" s="628">
        <f t="shared" ref="H54:M67" si="79">IF(H$21="Single-fuel",1,1-MIN(INDEX(CDRANGE_CLS1,$A54-($A$24-1),MATCH(H$20,TECHOPTS_Cls1,0))*OPDAYS_Cls1/$D$6,1))</f>
        <v>1</v>
      </c>
      <c r="I54" s="629">
        <f t="shared" si="79"/>
        <v>1</v>
      </c>
      <c r="J54" s="629">
        <f t="shared" si="79"/>
        <v>1</v>
      </c>
      <c r="K54" s="629">
        <f t="shared" si="79"/>
        <v>1</v>
      </c>
      <c r="L54" s="629">
        <f t="shared" si="79"/>
        <v>1</v>
      </c>
      <c r="M54" s="630">
        <f t="shared" si="79"/>
        <v>0.7376990460453936</v>
      </c>
      <c r="N54" s="147">
        <f t="shared" si="28"/>
        <v>8210.1935862417358</v>
      </c>
      <c r="O54" s="148">
        <f t="shared" si="29"/>
        <v>7393.0551952745845</v>
      </c>
      <c r="P54" s="148">
        <f t="shared" si="30"/>
        <v>6780.4703761913188</v>
      </c>
      <c r="Q54" s="148">
        <f t="shared" si="31"/>
        <v>11038.671541119875</v>
      </c>
      <c r="R54" s="148">
        <f t="shared" si="32"/>
        <v>9708.1178474085191</v>
      </c>
      <c r="S54" s="150">
        <f t="shared" si="33"/>
        <v>8284.0270972802937</v>
      </c>
      <c r="T54" s="581">
        <f t="shared" si="61"/>
        <v>817.13839096715128</v>
      </c>
      <c r="U54" s="162">
        <f t="shared" si="62"/>
        <v>1429.723210050417</v>
      </c>
      <c r="V54" s="162">
        <f t="shared" si="63"/>
        <v>-2828.4779548781389</v>
      </c>
      <c r="W54" s="162">
        <f t="shared" si="64"/>
        <v>-1497.9242611667833</v>
      </c>
      <c r="X54" s="163">
        <f t="shared" si="65"/>
        <v>-73.833511038557845</v>
      </c>
      <c r="Y54" s="165">
        <f ca="1">IF(AND(Y$22=TRUE,INDEX(CDRANGE_CLS1,MATCH($A54,$A$24:$A$67,0),MATCH(Y$20,$B$20:$G$20,0))&lt;$D$6/OPDAYS_Cls1),86,payback(C54,T54,disc_rate/12,85))</f>
        <v>4</v>
      </c>
      <c r="Z54" s="166">
        <f ca="1">IF(AND(Z$22=TRUE,INDEX(CDRANGE_CLS1,MATCH($A54,$A$24:$A$67,0),MATCH(Z$20,$B$20:$G$20,0))&lt;$D$6/OPDAYS_Cls1),86,payback(D54,U54,disc_rate/12,85))</f>
        <v>7</v>
      </c>
      <c r="AA54" s="166">
        <f>IF(AND(AA$22=TRUE,INDEX(CDRANGE_CLS1,MATCH($A54,$A$24:$A$67,0),MATCH(AA$20,$B$20:$G$20,0))&lt;$D$6/OPDAYS_Cls1),86,payback(E54,V54,disc_rate/12,85))</f>
        <v>86</v>
      </c>
      <c r="AB54" s="166">
        <f ca="1">IF(AND(AB$22=TRUE,INDEX(CDRANGE_CLS1,MATCH($A54,$A$24:$A$67,0),MATCH(AB$20,$B$20:$G$20,0))&lt;$D$6/OPDAYS_Cls1),86,payback(F54,W54,disc_rate/12,85))</f>
        <v>86</v>
      </c>
      <c r="AC54" s="439">
        <f ca="1">IF(AND(AC$22=TRUE,INDEX(CDRANGE_CLS1,MATCH($A54,$A$24:$A$67,0),MATCH(AC$20,$B$20:$G$20,0))&lt;$D$6/OPDAYS_Cls1),86,payback(G54,X54,disc_rate/12,85))</f>
        <v>86</v>
      </c>
      <c r="AD54" s="168">
        <f t="shared" si="35"/>
        <v>0</v>
      </c>
      <c r="AE54" s="169">
        <f t="shared" si="36"/>
        <v>0</v>
      </c>
      <c r="AF54" s="169">
        <f t="shared" si="37"/>
        <v>0</v>
      </c>
      <c r="AG54" s="169">
        <f t="shared" si="38"/>
        <v>0</v>
      </c>
      <c r="AH54" s="170">
        <f t="shared" si="39"/>
        <v>0</v>
      </c>
      <c r="AI54" s="986">
        <f t="shared" si="40"/>
        <v>0.49983232493476681</v>
      </c>
      <c r="AJ54" s="987">
        <f t="shared" si="41"/>
        <v>0.49983232493476681</v>
      </c>
      <c r="AK54" s="987">
        <f t="shared" si="42"/>
        <v>0.49983232493476681</v>
      </c>
      <c r="AL54" s="987">
        <f t="shared" si="43"/>
        <v>0.49983232493476681</v>
      </c>
      <c r="AM54" s="995">
        <f t="shared" si="44"/>
        <v>0.49983232493476681</v>
      </c>
      <c r="AN54" s="171">
        <f t="shared" si="66"/>
        <v>0.99899065718082514</v>
      </c>
      <c r="AO54" s="172">
        <f t="shared" si="67"/>
        <v>0.99097756838403195</v>
      </c>
      <c r="AP54" s="172">
        <f t="shared" si="68"/>
        <v>4.2001196584289247E-3</v>
      </c>
      <c r="AQ54" s="172">
        <f t="shared" si="69"/>
        <v>0.47084379048188274</v>
      </c>
      <c r="AR54" s="445">
        <f t="shared" si="70"/>
        <v>0.21040203422719872</v>
      </c>
      <c r="AS54" s="168">
        <f t="shared" ca="1" si="46"/>
        <v>0.99966464986953363</v>
      </c>
      <c r="AT54" s="169">
        <f t="shared" ca="1" si="47"/>
        <v>0.99639303278182911</v>
      </c>
      <c r="AU54" s="169">
        <f t="shared" si="48"/>
        <v>0</v>
      </c>
      <c r="AV54" s="169">
        <f t="shared" ca="1" si="49"/>
        <v>0</v>
      </c>
      <c r="AW54" s="170">
        <f t="shared" ca="1" si="50"/>
        <v>0</v>
      </c>
      <c r="AX54" s="168">
        <f t="shared" ca="1" si="51"/>
        <v>0.99865564553360486</v>
      </c>
      <c r="AY54" s="169">
        <f t="shared" ca="1" si="52"/>
        <v>0.98740314478092805</v>
      </c>
      <c r="AZ54" s="169">
        <f t="shared" si="53"/>
        <v>0</v>
      </c>
      <c r="BA54" s="169">
        <f t="shared" ca="1" si="71"/>
        <v>0</v>
      </c>
      <c r="BB54" s="170">
        <f t="shared" ca="1" si="72"/>
        <v>0</v>
      </c>
      <c r="BC54" s="168">
        <f t="shared" ca="1" si="73"/>
        <v>1.3443544663951368E-3</v>
      </c>
      <c r="BD54" s="169">
        <f t="shared" ca="1" si="56"/>
        <v>0.50215688640223799</v>
      </c>
      <c r="BE54" s="169">
        <f t="shared" ca="1" si="57"/>
        <v>0.49649875913136693</v>
      </c>
      <c r="BF54" s="169">
        <f t="shared" ca="1" si="58"/>
        <v>0</v>
      </c>
      <c r="BG54" s="169">
        <f t="shared" ca="1" si="59"/>
        <v>0</v>
      </c>
      <c r="BH54" s="170">
        <f t="shared" ca="1" si="60"/>
        <v>0</v>
      </c>
    </row>
    <row r="55" spans="1:60" x14ac:dyDescent="0.2">
      <c r="A55" s="189">
        <v>2038</v>
      </c>
      <c r="B55" s="667">
        <f t="shared" si="78"/>
        <v>163848.29</v>
      </c>
      <c r="C55" s="668">
        <f t="shared" si="78"/>
        <v>3306.83</v>
      </c>
      <c r="D55" s="668">
        <f t="shared" si="78"/>
        <v>9462.77</v>
      </c>
      <c r="E55" s="668">
        <f t="shared" si="78"/>
        <v>223027.19</v>
      </c>
      <c r="F55" s="668">
        <f t="shared" si="78"/>
        <v>83101.289999999994</v>
      </c>
      <c r="G55" s="669">
        <f t="shared" si="78"/>
        <v>119785.78</v>
      </c>
      <c r="H55" s="628">
        <f t="shared" si="79"/>
        <v>1</v>
      </c>
      <c r="I55" s="629">
        <f t="shared" si="79"/>
        <v>1</v>
      </c>
      <c r="J55" s="629">
        <f t="shared" si="79"/>
        <v>1</v>
      </c>
      <c r="K55" s="629">
        <f t="shared" si="79"/>
        <v>1</v>
      </c>
      <c r="L55" s="629">
        <f t="shared" si="79"/>
        <v>1</v>
      </c>
      <c r="M55" s="630">
        <f t="shared" si="79"/>
        <v>0.73366662089604795</v>
      </c>
      <c r="N55" s="147">
        <f t="shared" si="28"/>
        <v>8273.5292603443249</v>
      </c>
      <c r="O55" s="148">
        <f t="shared" si="29"/>
        <v>7393.521100748324</v>
      </c>
      <c r="P55" s="148">
        <f t="shared" si="30"/>
        <v>6750.5247610090619</v>
      </c>
      <c r="Q55" s="148">
        <f t="shared" si="31"/>
        <v>10802.165029564205</v>
      </c>
      <c r="R55" s="148">
        <f t="shared" si="32"/>
        <v>9356.2185518037077</v>
      </c>
      <c r="S55" s="150">
        <f t="shared" si="33"/>
        <v>8207.9708645615101</v>
      </c>
      <c r="T55" s="581">
        <f t="shared" si="61"/>
        <v>880.00815959600095</v>
      </c>
      <c r="U55" s="162">
        <f t="shared" si="62"/>
        <v>1523.0044993352631</v>
      </c>
      <c r="V55" s="162">
        <f t="shared" si="63"/>
        <v>-2528.6357692198799</v>
      </c>
      <c r="W55" s="162">
        <f t="shared" si="64"/>
        <v>-1082.6892914593827</v>
      </c>
      <c r="X55" s="163">
        <f t="shared" si="65"/>
        <v>65.558395782814841</v>
      </c>
      <c r="Y55" s="165">
        <f ca="1">IF(AND(Y$22=TRUE,INDEX(CDRANGE_CLS1,MATCH($A55,$A$24:$A$67,0),MATCH(Y$20,$B$20:$G$20,0))&lt;$D$6/OPDAYS_Cls1),86,payback(C55,T55,disc_rate/12,85))</f>
        <v>4</v>
      </c>
      <c r="Z55" s="166">
        <f ca="1">IF(AND(Z$22=TRUE,INDEX(CDRANGE_CLS1,MATCH($A55,$A$24:$A$67,0),MATCH(Z$20,$B$20:$G$20,0))&lt;$D$6/OPDAYS_Cls1),86,payback(D55,U55,disc_rate/12,85))</f>
        <v>7</v>
      </c>
      <c r="AA55" s="166">
        <f>IF(AND(AA$22=TRUE,INDEX(CDRANGE_CLS1,MATCH($A55,$A$24:$A$67,0),MATCH(AA$20,$B$20:$G$20,0))&lt;$D$6/OPDAYS_Cls1),86,payback(E55,V55,disc_rate/12,85))</f>
        <v>86</v>
      </c>
      <c r="AB55" s="166">
        <f ca="1">IF(AND(AB$22=TRUE,INDEX(CDRANGE_CLS1,MATCH($A55,$A$24:$A$67,0),MATCH(AB$20,$B$20:$G$20,0))&lt;$D$6/OPDAYS_Cls1),86,payback(F55,W55,disc_rate/12,85))</f>
        <v>86</v>
      </c>
      <c r="AC55" s="439">
        <f ca="1">IF(AND(AC$22=TRUE,INDEX(CDRANGE_CLS1,MATCH($A55,$A$24:$A$67,0),MATCH(AC$20,$B$20:$G$20,0))&lt;$D$6/OPDAYS_Cls1),86,payback(G55,X55,disc_rate/12,85))</f>
        <v>86</v>
      </c>
      <c r="AD55" s="168">
        <f t="shared" si="35"/>
        <v>0</v>
      </c>
      <c r="AE55" s="169">
        <f t="shared" si="36"/>
        <v>0</v>
      </c>
      <c r="AF55" s="169">
        <f t="shared" si="37"/>
        <v>0</v>
      </c>
      <c r="AG55" s="169">
        <f t="shared" si="38"/>
        <v>0</v>
      </c>
      <c r="AH55" s="170">
        <f t="shared" si="39"/>
        <v>0</v>
      </c>
      <c r="AI55" s="986">
        <f t="shared" si="40"/>
        <v>0.49993830271200684</v>
      </c>
      <c r="AJ55" s="987">
        <f t="shared" si="41"/>
        <v>0.49993830271200684</v>
      </c>
      <c r="AK55" s="987">
        <f t="shared" si="42"/>
        <v>0.49993830271200684</v>
      </c>
      <c r="AL55" s="987">
        <f t="shared" si="43"/>
        <v>0.49993830271200684</v>
      </c>
      <c r="AM55" s="995">
        <f t="shared" si="44"/>
        <v>0.49993830271200684</v>
      </c>
      <c r="AN55" s="171">
        <f t="shared" si="66"/>
        <v>0.99886918452934637</v>
      </c>
      <c r="AO55" s="172">
        <f t="shared" si="67"/>
        <v>0.99077768603401939</v>
      </c>
      <c r="AP55" s="172">
        <f t="shared" si="68"/>
        <v>5.8185437677605867E-3</v>
      </c>
      <c r="AQ55" s="172">
        <f t="shared" si="69"/>
        <v>0.48941505154570475</v>
      </c>
      <c r="AR55" s="445">
        <f t="shared" si="70"/>
        <v>0.22658153702988404</v>
      </c>
      <c r="AS55" s="168">
        <f t="shared" ca="1" si="46"/>
        <v>0.99987660542401369</v>
      </c>
      <c r="AT55" s="169">
        <f t="shared" ca="1" si="47"/>
        <v>0.99660429466627287</v>
      </c>
      <c r="AU55" s="169">
        <f t="shared" si="48"/>
        <v>0</v>
      </c>
      <c r="AV55" s="169">
        <f t="shared" ca="1" si="49"/>
        <v>0</v>
      </c>
      <c r="AW55" s="170">
        <f t="shared" ca="1" si="50"/>
        <v>0</v>
      </c>
      <c r="AX55" s="168">
        <f t="shared" ca="1" si="51"/>
        <v>0.99874592948985552</v>
      </c>
      <c r="AY55" s="169">
        <f t="shared" ca="1" si="52"/>
        <v>0.98741329696101587</v>
      </c>
      <c r="AZ55" s="169">
        <f t="shared" si="53"/>
        <v>0</v>
      </c>
      <c r="BA55" s="169">
        <f t="shared" ca="1" si="71"/>
        <v>0</v>
      </c>
      <c r="BB55" s="170">
        <f t="shared" ca="1" si="72"/>
        <v>0</v>
      </c>
      <c r="BC55" s="168">
        <f t="shared" ca="1" si="73"/>
        <v>1.2540705101444782E-3</v>
      </c>
      <c r="BD55" s="169">
        <f t="shared" ca="1" si="56"/>
        <v>0.50222228831824678</v>
      </c>
      <c r="BE55" s="169">
        <f t="shared" ca="1" si="57"/>
        <v>0.49652364117160874</v>
      </c>
      <c r="BF55" s="169">
        <f t="shared" ca="1" si="58"/>
        <v>0</v>
      </c>
      <c r="BG55" s="169">
        <f t="shared" ca="1" si="59"/>
        <v>0</v>
      </c>
      <c r="BH55" s="170">
        <f t="shared" ca="1" si="60"/>
        <v>0</v>
      </c>
    </row>
    <row r="56" spans="1:60" x14ac:dyDescent="0.2">
      <c r="A56" s="189">
        <v>2039</v>
      </c>
      <c r="B56" s="667">
        <f t="shared" si="78"/>
        <v>163848.29</v>
      </c>
      <c r="C56" s="668">
        <f t="shared" si="78"/>
        <v>3579.93</v>
      </c>
      <c r="D56" s="668">
        <f t="shared" si="78"/>
        <v>9617.56</v>
      </c>
      <c r="E56" s="668">
        <f t="shared" si="78"/>
        <v>212635.43</v>
      </c>
      <c r="F56" s="668">
        <f t="shared" si="78"/>
        <v>79783.88</v>
      </c>
      <c r="G56" s="669">
        <f t="shared" si="78"/>
        <v>115373.79</v>
      </c>
      <c r="H56" s="628">
        <f t="shared" si="79"/>
        <v>1</v>
      </c>
      <c r="I56" s="629">
        <f t="shared" si="79"/>
        <v>1</v>
      </c>
      <c r="J56" s="629">
        <f t="shared" si="79"/>
        <v>1</v>
      </c>
      <c r="K56" s="629">
        <f t="shared" si="79"/>
        <v>1</v>
      </c>
      <c r="L56" s="629">
        <f t="shared" si="79"/>
        <v>1</v>
      </c>
      <c r="M56" s="630">
        <f t="shared" si="79"/>
        <v>0.72764045236543284</v>
      </c>
      <c r="N56" s="147">
        <f t="shared" si="28"/>
        <v>8340.9221852733808</v>
      </c>
      <c r="O56" s="148">
        <f t="shared" si="29"/>
        <v>7365.4855916040324</v>
      </c>
      <c r="P56" s="148">
        <f t="shared" si="30"/>
        <v>6681.1216887309947</v>
      </c>
      <c r="Q56" s="148">
        <f t="shared" si="31"/>
        <v>10393.335517618489</v>
      </c>
      <c r="R56" s="148">
        <f t="shared" si="32"/>
        <v>8949.3696186851339</v>
      </c>
      <c r="S56" s="150">
        <f t="shared" si="33"/>
        <v>8057.4363599584076</v>
      </c>
      <c r="T56" s="581">
        <f t="shared" si="61"/>
        <v>975.43659366934844</v>
      </c>
      <c r="U56" s="162">
        <f t="shared" si="62"/>
        <v>1659.8004965423861</v>
      </c>
      <c r="V56" s="162">
        <f t="shared" si="63"/>
        <v>-2052.4133323451078</v>
      </c>
      <c r="W56" s="162">
        <f t="shared" si="64"/>
        <v>-608.44743341175308</v>
      </c>
      <c r="X56" s="163">
        <f t="shared" si="65"/>
        <v>283.48582531497323</v>
      </c>
      <c r="Y56" s="165">
        <f ca="1">IF(AND(Y$22=TRUE,INDEX(CDRANGE_CLS1,MATCH($A56,$A$24:$A$67,0),MATCH(Y$20,$B$20:$G$20,0))&lt;$D$6/OPDAYS_Cls1),86,payback(C56,T56,disc_rate/12,85))</f>
        <v>4</v>
      </c>
      <c r="Z56" s="166">
        <f ca="1">IF(AND(Z$22=TRUE,INDEX(CDRANGE_CLS1,MATCH($A56,$A$24:$A$67,0),MATCH(Z$20,$B$20:$G$20,0))&lt;$D$6/OPDAYS_Cls1),86,payback(D56,U56,disc_rate/12,85))</f>
        <v>6</v>
      </c>
      <c r="AA56" s="166">
        <f>IF(AND(AA$22=TRUE,INDEX(CDRANGE_CLS1,MATCH($A56,$A$24:$A$67,0),MATCH(AA$20,$B$20:$G$20,0))&lt;$D$6/OPDAYS_Cls1),86,payback(E56,V56,disc_rate/12,85))</f>
        <v>86</v>
      </c>
      <c r="AB56" s="166">
        <f ca="1">IF(AND(AB$22=TRUE,INDEX(CDRANGE_CLS1,MATCH($A56,$A$24:$A$67,0),MATCH(AB$20,$B$20:$G$20,0))&lt;$D$6/OPDAYS_Cls1),86,payback(F56,W56,disc_rate/12,85))</f>
        <v>86</v>
      </c>
      <c r="AC56" s="439">
        <f ca="1">IF(AND(AC$22=TRUE,INDEX(CDRANGE_CLS1,MATCH($A56,$A$24:$A$67,0),MATCH(AC$20,$B$20:$G$20,0))&lt;$D$6/OPDAYS_Cls1),86,payback(G56,X56,disc_rate/12,85))</f>
        <v>86</v>
      </c>
      <c r="AD56" s="168">
        <f t="shared" si="35"/>
        <v>0</v>
      </c>
      <c r="AE56" s="169">
        <f t="shared" si="36"/>
        <v>0</v>
      </c>
      <c r="AF56" s="169">
        <f t="shared" si="37"/>
        <v>0</v>
      </c>
      <c r="AG56" s="169">
        <f t="shared" si="38"/>
        <v>0</v>
      </c>
      <c r="AH56" s="170">
        <f t="shared" si="39"/>
        <v>0</v>
      </c>
      <c r="AI56" s="986">
        <f t="shared" si="40"/>
        <v>0.4999773010656488</v>
      </c>
      <c r="AJ56" s="987">
        <f t="shared" si="41"/>
        <v>0.4999773010656488</v>
      </c>
      <c r="AK56" s="987">
        <f t="shared" si="42"/>
        <v>0.4999773010656488</v>
      </c>
      <c r="AL56" s="987">
        <f t="shared" si="43"/>
        <v>0.4999773010656488</v>
      </c>
      <c r="AM56" s="995">
        <f t="shared" si="44"/>
        <v>0.4999773010656488</v>
      </c>
      <c r="AN56" s="171">
        <f t="shared" si="66"/>
        <v>0.99867482014836595</v>
      </c>
      <c r="AO56" s="172">
        <f t="shared" si="67"/>
        <v>0.99047495822700715</v>
      </c>
      <c r="AP56" s="172">
        <f t="shared" si="68"/>
        <v>9.295115582133251E-3</v>
      </c>
      <c r="AQ56" s="172">
        <f t="shared" si="69"/>
        <v>0.51755796746291838</v>
      </c>
      <c r="AR56" s="445">
        <f t="shared" si="70"/>
        <v>0.25225917783481833</v>
      </c>
      <c r="AS56" s="168">
        <f t="shared" ca="1" si="46"/>
        <v>0.99995460213129761</v>
      </c>
      <c r="AT56" s="169">
        <f t="shared" ca="1" si="47"/>
        <v>0.99995460213129761</v>
      </c>
      <c r="AU56" s="169">
        <f t="shared" si="48"/>
        <v>0</v>
      </c>
      <c r="AV56" s="169">
        <f t="shared" ca="1" si="49"/>
        <v>0</v>
      </c>
      <c r="AW56" s="170">
        <f t="shared" ca="1" si="50"/>
        <v>0</v>
      </c>
      <c r="AX56" s="168">
        <f t="shared" ca="1" si="51"/>
        <v>0.99862948244000449</v>
      </c>
      <c r="AY56" s="169">
        <f t="shared" ca="1" si="52"/>
        <v>0.99042999277490051</v>
      </c>
      <c r="AZ56" s="169">
        <f t="shared" si="53"/>
        <v>0</v>
      </c>
      <c r="BA56" s="169">
        <f t="shared" ca="1" si="71"/>
        <v>0</v>
      </c>
      <c r="BB56" s="170">
        <f t="shared" ca="1" si="72"/>
        <v>0</v>
      </c>
      <c r="BC56" s="168">
        <f t="shared" ca="1" si="73"/>
        <v>1.3705175599953989E-3</v>
      </c>
      <c r="BD56" s="169">
        <f t="shared" ca="1" si="56"/>
        <v>0.50137306381481817</v>
      </c>
      <c r="BE56" s="169">
        <f t="shared" ca="1" si="57"/>
        <v>0.49725641862518638</v>
      </c>
      <c r="BF56" s="169">
        <f t="shared" ca="1" si="58"/>
        <v>0</v>
      </c>
      <c r="BG56" s="169">
        <f t="shared" ca="1" si="59"/>
        <v>0</v>
      </c>
      <c r="BH56" s="170">
        <f t="shared" ca="1" si="60"/>
        <v>0</v>
      </c>
    </row>
    <row r="57" spans="1:60" ht="13.5" thickBot="1" x14ac:dyDescent="0.25">
      <c r="A57" s="465">
        <v>2040</v>
      </c>
      <c r="B57" s="661">
        <f t="shared" si="78"/>
        <v>163848.29</v>
      </c>
      <c r="C57" s="662">
        <f t="shared" si="78"/>
        <v>3966.81</v>
      </c>
      <c r="D57" s="662">
        <f t="shared" si="78"/>
        <v>9836.85</v>
      </c>
      <c r="E57" s="662">
        <f t="shared" si="78"/>
        <v>197914.2</v>
      </c>
      <c r="F57" s="662">
        <f t="shared" si="78"/>
        <v>75084.36</v>
      </c>
      <c r="G57" s="663">
        <f t="shared" si="78"/>
        <v>109123.65</v>
      </c>
      <c r="H57" s="628">
        <f t="shared" si="79"/>
        <v>1</v>
      </c>
      <c r="I57" s="629">
        <f t="shared" si="79"/>
        <v>1</v>
      </c>
      <c r="J57" s="629">
        <f t="shared" si="79"/>
        <v>1</v>
      </c>
      <c r="K57" s="629">
        <f t="shared" si="79"/>
        <v>1</v>
      </c>
      <c r="L57" s="629">
        <f t="shared" si="79"/>
        <v>1</v>
      </c>
      <c r="M57" s="630">
        <f t="shared" si="79"/>
        <v>0.7191036297017982</v>
      </c>
      <c r="N57" s="622">
        <f t="shared" si="28"/>
        <v>8341.1224518775671</v>
      </c>
      <c r="O57" s="623">
        <f t="shared" si="29"/>
        <v>7239.890475023185</v>
      </c>
      <c r="P57" s="623">
        <f t="shared" si="30"/>
        <v>6508.8851409959207</v>
      </c>
      <c r="Q57" s="623">
        <f t="shared" si="31"/>
        <v>9779.3223920554265</v>
      </c>
      <c r="R57" s="623">
        <f t="shared" si="32"/>
        <v>8484.1843310115964</v>
      </c>
      <c r="S57" s="624">
        <f t="shared" si="33"/>
        <v>7771.2104197358422</v>
      </c>
      <c r="T57" s="582">
        <f t="shared" si="61"/>
        <v>1101.2319768543821</v>
      </c>
      <c r="U57" s="466">
        <f t="shared" si="62"/>
        <v>1832.2373108816464</v>
      </c>
      <c r="V57" s="466">
        <f t="shared" si="63"/>
        <v>-1438.1999401778594</v>
      </c>
      <c r="W57" s="466">
        <f t="shared" si="64"/>
        <v>-143.06187913402937</v>
      </c>
      <c r="X57" s="467">
        <f t="shared" si="65"/>
        <v>569.91203214172492</v>
      </c>
      <c r="Y57" s="468">
        <f ca="1">IF(AND(Y$22=TRUE,INDEX(CDRANGE_CLS1,MATCH($A57,$A$24:$A$67,0),MATCH(Y$20,$B$20:$G$20,0))&lt;$D$6/OPDAYS_Cls1),86,payback(C57,T57,disc_rate/12,85))</f>
        <v>4</v>
      </c>
      <c r="Z57" s="469">
        <f ca="1">IF(AND(Z$22=TRUE,INDEX(CDRANGE_CLS1,MATCH($A57,$A$24:$A$67,0),MATCH(Z$20,$B$20:$G$20,0))&lt;$D$6/OPDAYS_Cls1),86,payback(D57,U57,disc_rate/12,85))</f>
        <v>6</v>
      </c>
      <c r="AA57" s="469">
        <f>IF(AND(AA$22=TRUE,INDEX(CDRANGE_CLS1,MATCH($A57,$A$24:$A$67,0),MATCH(AA$20,$B$20:$G$20,0))&lt;$D$6/OPDAYS_Cls1),86,payback(E57,V57,disc_rate/12,85))</f>
        <v>86</v>
      </c>
      <c r="AB57" s="469">
        <f ca="1">IF(AND(AB$22=TRUE,INDEX(CDRANGE_CLS1,MATCH($A57,$A$24:$A$67,0),MATCH(AB$20,$B$20:$G$20,0))&lt;$D$6/OPDAYS_Cls1),86,payback(F57,W57,disc_rate/12,85))</f>
        <v>86</v>
      </c>
      <c r="AC57" s="470">
        <f ca="1">IF(AND(AC$22=TRUE,INDEX(CDRANGE_CLS1,MATCH($A57,$A$24:$A$67,0),MATCH(AC$20,$B$20:$G$20,0))&lt;$D$6/OPDAYS_Cls1),86,payback(G57,X57,disc_rate/12,85))</f>
        <v>86</v>
      </c>
      <c r="AD57" s="471">
        <f t="shared" si="35"/>
        <v>0</v>
      </c>
      <c r="AE57" s="472">
        <f t="shared" si="36"/>
        <v>0</v>
      </c>
      <c r="AF57" s="472">
        <f t="shared" si="37"/>
        <v>0</v>
      </c>
      <c r="AG57" s="472">
        <f t="shared" si="38"/>
        <v>0</v>
      </c>
      <c r="AH57" s="473">
        <f t="shared" si="39"/>
        <v>0</v>
      </c>
      <c r="AI57" s="998">
        <f t="shared" si="40"/>
        <v>0.49999164928907602</v>
      </c>
      <c r="AJ57" s="999">
        <f t="shared" si="41"/>
        <v>0.49999164928907602</v>
      </c>
      <c r="AK57" s="999">
        <f t="shared" si="42"/>
        <v>0.49999164928907602</v>
      </c>
      <c r="AL57" s="999">
        <f t="shared" si="43"/>
        <v>0.49999164928907602</v>
      </c>
      <c r="AM57" s="1000">
        <f t="shared" si="44"/>
        <v>0.49999164928907602</v>
      </c>
      <c r="AN57" s="477">
        <f t="shared" si="66"/>
        <v>0.99837316701445888</v>
      </c>
      <c r="AO57" s="475">
        <f t="shared" si="67"/>
        <v>0.99003784070537926</v>
      </c>
      <c r="AP57" s="475">
        <f t="shared" si="68"/>
        <v>1.7371648166716214E-2</v>
      </c>
      <c r="AQ57" s="475">
        <f t="shared" si="69"/>
        <v>0.55803825979748478</v>
      </c>
      <c r="AR57" s="476">
        <f t="shared" si="70"/>
        <v>0.29167487005282178</v>
      </c>
      <c r="AS57" s="471">
        <f t="shared" ca="1" si="46"/>
        <v>0.99998329857815205</v>
      </c>
      <c r="AT57" s="472">
        <f t="shared" ca="1" si="47"/>
        <v>0.99998329857815205</v>
      </c>
      <c r="AU57" s="472">
        <f t="shared" si="48"/>
        <v>0</v>
      </c>
      <c r="AV57" s="472">
        <f t="shared" ca="1" si="49"/>
        <v>0</v>
      </c>
      <c r="AW57" s="473">
        <f t="shared" ca="1" si="50"/>
        <v>0</v>
      </c>
      <c r="AX57" s="471">
        <f t="shared" ca="1" si="51"/>
        <v>0.99835649276303495</v>
      </c>
      <c r="AY57" s="472">
        <f t="shared" ca="1" si="52"/>
        <v>0.99002130566575619</v>
      </c>
      <c r="AZ57" s="472">
        <f t="shared" si="53"/>
        <v>0</v>
      </c>
      <c r="BA57" s="472">
        <f t="shared" ca="1" si="71"/>
        <v>0</v>
      </c>
      <c r="BB57" s="473">
        <f t="shared" ca="1" si="72"/>
        <v>0</v>
      </c>
      <c r="BC57" s="471">
        <f t="shared" ca="1" si="73"/>
        <v>1.6435072369649362E-3</v>
      </c>
      <c r="BD57" s="472">
        <f t="shared" ca="1" si="56"/>
        <v>0.50127077833483613</v>
      </c>
      <c r="BE57" s="472">
        <f t="shared" ca="1" si="57"/>
        <v>0.49708571442819888</v>
      </c>
      <c r="BF57" s="472">
        <f t="shared" ca="1" si="58"/>
        <v>0</v>
      </c>
      <c r="BG57" s="472">
        <f t="shared" ca="1" si="59"/>
        <v>0</v>
      </c>
      <c r="BH57" s="473">
        <f t="shared" ca="1" si="60"/>
        <v>0</v>
      </c>
    </row>
    <row r="58" spans="1:60" x14ac:dyDescent="0.2">
      <c r="A58" s="190">
        <v>2041</v>
      </c>
      <c r="B58" s="664">
        <f t="shared" si="78"/>
        <v>163848.29</v>
      </c>
      <c r="C58" s="665">
        <f t="shared" si="78"/>
        <v>4475.3100000000004</v>
      </c>
      <c r="D58" s="665">
        <f t="shared" si="78"/>
        <v>10125.07</v>
      </c>
      <c r="E58" s="665">
        <f t="shared" si="78"/>
        <v>178565.14</v>
      </c>
      <c r="F58" s="665">
        <f t="shared" si="78"/>
        <v>68907.47</v>
      </c>
      <c r="G58" s="666">
        <f t="shared" si="78"/>
        <v>100908.69</v>
      </c>
      <c r="H58" s="628">
        <f t="shared" si="79"/>
        <v>1</v>
      </c>
      <c r="I58" s="629">
        <f t="shared" si="79"/>
        <v>1</v>
      </c>
      <c r="J58" s="629">
        <f t="shared" si="79"/>
        <v>1</v>
      </c>
      <c r="K58" s="629">
        <f t="shared" si="79"/>
        <v>1</v>
      </c>
      <c r="L58" s="629">
        <f t="shared" si="79"/>
        <v>1</v>
      </c>
      <c r="M58" s="630">
        <f t="shared" si="79"/>
        <v>0.70788313455943719</v>
      </c>
      <c r="N58" s="478">
        <f t="shared" si="28"/>
        <v>8394.4225493478662</v>
      </c>
      <c r="O58" s="479">
        <f t="shared" si="29"/>
        <v>7126.0602292162575</v>
      </c>
      <c r="P58" s="479">
        <f t="shared" si="30"/>
        <v>6335.4716115481533</v>
      </c>
      <c r="Q58" s="479">
        <f t="shared" si="31"/>
        <v>8956.1284194164928</v>
      </c>
      <c r="R58" s="479">
        <f t="shared" si="32"/>
        <v>7972.943088885042</v>
      </c>
      <c r="S58" s="592">
        <f t="shared" si="33"/>
        <v>7421.3965738211091</v>
      </c>
      <c r="T58" s="583">
        <f t="shared" si="61"/>
        <v>1268.3623201316086</v>
      </c>
      <c r="U58" s="479">
        <f t="shared" si="62"/>
        <v>2058.9509377997128</v>
      </c>
      <c r="V58" s="479">
        <f t="shared" si="63"/>
        <v>-561.70587006862661</v>
      </c>
      <c r="W58" s="479">
        <f t="shared" si="64"/>
        <v>421.47946046282414</v>
      </c>
      <c r="X58" s="480">
        <f t="shared" si="65"/>
        <v>973.02597552675707</v>
      </c>
      <c r="Y58" s="481">
        <f ca="1">IF(AND(Y$22=TRUE,INDEX(CDRANGE_CLS1,MATCH($A58,$A$24:$A$67,0),MATCH(Y$20,$B$20:$G$20,0))&lt;$D$6/OPDAYS_Cls1),86,payback(C58,T58,disc_rate/12,85))</f>
        <v>4</v>
      </c>
      <c r="Z58" s="482">
        <f ca="1">IF(AND(Z$22=TRUE,INDEX(CDRANGE_CLS1,MATCH($A58,$A$24:$A$67,0),MATCH(Z$20,$B$20:$G$20,0))&lt;$D$6/OPDAYS_Cls1),86,payback(D58,U58,disc_rate/12,85))</f>
        <v>6</v>
      </c>
      <c r="AA58" s="482">
        <f>IF(AND(AA$22=TRUE,INDEX(CDRANGE_CLS1,MATCH($A58,$A$24:$A$67,0),MATCH(AA$20,$B$20:$G$20,0))&lt;$D$6/OPDAYS_Cls1),86,payback(E58,V58,disc_rate/12,85))</f>
        <v>86</v>
      </c>
      <c r="AB58" s="482">
        <f ca="1">IF(AND(AB$22=TRUE,INDEX(CDRANGE_CLS1,MATCH($A58,$A$24:$A$67,0),MATCH(AB$20,$B$20:$G$20,0))&lt;$D$6/OPDAYS_Cls1),86,payback(F58,W58,disc_rate/12,85))</f>
        <v>86</v>
      </c>
      <c r="AC58" s="483">
        <f ca="1">IF(AND(AC$22=TRUE,INDEX(CDRANGE_CLS1,MATCH($A58,$A$24:$A$67,0),MATCH(AC$20,$B$20:$G$20,0))&lt;$D$6/OPDAYS_Cls1),86,payback(G58,X58,disc_rate/12,85))</f>
        <v>86</v>
      </c>
      <c r="AD58" s="484">
        <f t="shared" si="35"/>
        <v>0</v>
      </c>
      <c r="AE58" s="485">
        <f t="shared" si="36"/>
        <v>0</v>
      </c>
      <c r="AF58" s="485">
        <f t="shared" si="37"/>
        <v>0</v>
      </c>
      <c r="AG58" s="485">
        <f t="shared" si="38"/>
        <v>0</v>
      </c>
      <c r="AH58" s="486">
        <f t="shared" si="39"/>
        <v>0</v>
      </c>
      <c r="AI58" s="992">
        <f t="shared" si="40"/>
        <v>0.4999969279126989</v>
      </c>
      <c r="AJ58" s="993">
        <f t="shared" si="41"/>
        <v>0.4999969279126989</v>
      </c>
      <c r="AK58" s="993">
        <f t="shared" si="42"/>
        <v>0.4999969279126989</v>
      </c>
      <c r="AL58" s="993">
        <f t="shared" si="43"/>
        <v>0.4999969279126989</v>
      </c>
      <c r="AM58" s="994">
        <f t="shared" si="44"/>
        <v>0.4999969279126989</v>
      </c>
      <c r="AN58" s="490">
        <f t="shared" si="66"/>
        <v>0.99792981100143596</v>
      </c>
      <c r="AO58" s="488">
        <f t="shared" si="67"/>
        <v>0.98944864085340123</v>
      </c>
      <c r="AP58" s="488">
        <f t="shared" si="68"/>
        <v>3.6913138224858644E-2</v>
      </c>
      <c r="AQ58" s="488">
        <f t="shared" si="69"/>
        <v>0.61183083091788393</v>
      </c>
      <c r="AR58" s="489">
        <f t="shared" si="70"/>
        <v>0.34868442768259134</v>
      </c>
      <c r="AS58" s="484">
        <f t="shared" ca="1" si="46"/>
        <v>0.99999385582539779</v>
      </c>
      <c r="AT58" s="485">
        <f t="shared" ca="1" si="47"/>
        <v>0.99999385582539779</v>
      </c>
      <c r="AU58" s="485">
        <f t="shared" si="48"/>
        <v>0</v>
      </c>
      <c r="AV58" s="485">
        <f t="shared" ca="1" si="49"/>
        <v>0</v>
      </c>
      <c r="AW58" s="486">
        <f t="shared" ca="1" si="50"/>
        <v>0</v>
      </c>
      <c r="AX58" s="484">
        <f t="shared" ca="1" si="51"/>
        <v>0.99792367954643646</v>
      </c>
      <c r="AY58" s="485">
        <f t="shared" ca="1" si="52"/>
        <v>0.98944256150819188</v>
      </c>
      <c r="AZ58" s="485">
        <f t="shared" si="53"/>
        <v>0</v>
      </c>
      <c r="BA58" s="485">
        <f t="shared" ca="1" si="71"/>
        <v>0</v>
      </c>
      <c r="BB58" s="486">
        <f t="shared" ca="1" si="72"/>
        <v>0</v>
      </c>
      <c r="BC58" s="484">
        <f t="shared" ca="1" si="73"/>
        <v>2.0763204535635404E-3</v>
      </c>
      <c r="BD58" s="485">
        <f t="shared" ca="1" si="56"/>
        <v>0.50109116761037154</v>
      </c>
      <c r="BE58" s="485">
        <f t="shared" ca="1" si="57"/>
        <v>0.49683251193606492</v>
      </c>
      <c r="BF58" s="485">
        <f t="shared" ca="1" si="58"/>
        <v>0</v>
      </c>
      <c r="BG58" s="485">
        <f t="shared" ca="1" si="59"/>
        <v>0</v>
      </c>
      <c r="BH58" s="486">
        <f t="shared" ca="1" si="60"/>
        <v>0</v>
      </c>
    </row>
    <row r="59" spans="1:60" x14ac:dyDescent="0.2">
      <c r="A59" s="189">
        <v>2042</v>
      </c>
      <c r="B59" s="667">
        <f t="shared" si="78"/>
        <v>163848.29</v>
      </c>
      <c r="C59" s="668">
        <f t="shared" si="78"/>
        <v>5081.66</v>
      </c>
      <c r="D59" s="668">
        <f t="shared" si="78"/>
        <v>10468.75</v>
      </c>
      <c r="E59" s="668">
        <f t="shared" si="78"/>
        <v>155492.82</v>
      </c>
      <c r="F59" s="668">
        <f t="shared" si="78"/>
        <v>61542</v>
      </c>
      <c r="G59" s="669">
        <f t="shared" si="78"/>
        <v>91112.97</v>
      </c>
      <c r="H59" s="628">
        <f t="shared" si="79"/>
        <v>1</v>
      </c>
      <c r="I59" s="629">
        <f t="shared" si="79"/>
        <v>1</v>
      </c>
      <c r="J59" s="629">
        <f t="shared" si="79"/>
        <v>1</v>
      </c>
      <c r="K59" s="629">
        <f t="shared" si="79"/>
        <v>1</v>
      </c>
      <c r="L59" s="629">
        <f t="shared" si="79"/>
        <v>1</v>
      </c>
      <c r="M59" s="630">
        <f t="shared" si="79"/>
        <v>0.69450352744101196</v>
      </c>
      <c r="N59" s="147">
        <f t="shared" si="28"/>
        <v>8517.2026469091998</v>
      </c>
      <c r="O59" s="148">
        <f t="shared" si="29"/>
        <v>7045.6783719276982</v>
      </c>
      <c r="P59" s="148">
        <f t="shared" si="30"/>
        <v>6186.0137180643815</v>
      </c>
      <c r="Q59" s="148">
        <f t="shared" si="31"/>
        <v>7962.4211131950688</v>
      </c>
      <c r="R59" s="148">
        <f t="shared" si="32"/>
        <v>7446.6532409646061</v>
      </c>
      <c r="S59" s="150">
        <f t="shared" si="33"/>
        <v>7026.3808838229452</v>
      </c>
      <c r="T59" s="581">
        <f t="shared" si="61"/>
        <v>1471.5242749815015</v>
      </c>
      <c r="U59" s="162">
        <f t="shared" si="62"/>
        <v>2331.1889288448183</v>
      </c>
      <c r="V59" s="162">
        <f t="shared" si="63"/>
        <v>554.781533714131</v>
      </c>
      <c r="W59" s="162">
        <f t="shared" si="64"/>
        <v>1070.5494059445937</v>
      </c>
      <c r="X59" s="163">
        <f t="shared" si="65"/>
        <v>1490.8217630862546</v>
      </c>
      <c r="Y59" s="165">
        <f ca="1">IF(AND(Y$22=TRUE,INDEX(CDRANGE_CLS1,MATCH($A59,$A$24:$A$67,0),MATCH(Y$20,$B$20:$G$20,0))&lt;$D$6/OPDAYS_Cls1),86,payback(C59,T59,disc_rate/12,85))</f>
        <v>4</v>
      </c>
      <c r="Z59" s="166">
        <f ca="1">IF(AND(Z$22=TRUE,INDEX(CDRANGE_CLS1,MATCH($A59,$A$24:$A$67,0),MATCH(Z$20,$B$20:$G$20,0))&lt;$D$6/OPDAYS_Cls1),86,payback(D59,U59,disc_rate/12,85))</f>
        <v>5</v>
      </c>
      <c r="AA59" s="166">
        <f>IF(AND(AA$22=TRUE,INDEX(CDRANGE_CLS1,MATCH($A59,$A$24:$A$67,0),MATCH(AA$20,$B$20:$G$20,0))&lt;$D$6/OPDAYS_Cls1),86,payback(E59,V59,disc_rate/12,85))</f>
        <v>86</v>
      </c>
      <c r="AB59" s="166">
        <f ca="1">IF(AND(AB$22=TRUE,INDEX(CDRANGE_CLS1,MATCH($A59,$A$24:$A$67,0),MATCH(AB$20,$B$20:$G$20,0))&lt;$D$6/OPDAYS_Cls1),86,payback(F59,W59,disc_rate/12,85))</f>
        <v>72</v>
      </c>
      <c r="AC59" s="439">
        <f ca="1">IF(AND(AC$22=TRUE,INDEX(CDRANGE_CLS1,MATCH($A59,$A$24:$A$67,0),MATCH(AC$20,$B$20:$G$20,0))&lt;$D$6/OPDAYS_Cls1),86,payback(G59,X59,disc_rate/12,85))</f>
        <v>78</v>
      </c>
      <c r="AD59" s="168">
        <f t="shared" si="35"/>
        <v>0</v>
      </c>
      <c r="AE59" s="169">
        <f t="shared" si="36"/>
        <v>0</v>
      </c>
      <c r="AF59" s="169">
        <f t="shared" si="37"/>
        <v>0</v>
      </c>
      <c r="AG59" s="169">
        <f t="shared" si="38"/>
        <v>0</v>
      </c>
      <c r="AH59" s="170">
        <f t="shared" si="39"/>
        <v>0</v>
      </c>
      <c r="AI59" s="986">
        <f t="shared" si="40"/>
        <v>0.49999886983785102</v>
      </c>
      <c r="AJ59" s="987">
        <f t="shared" si="41"/>
        <v>0.49999886983785102</v>
      </c>
      <c r="AK59" s="987">
        <f t="shared" si="42"/>
        <v>0.49999886983785102</v>
      </c>
      <c r="AL59" s="987">
        <f t="shared" si="43"/>
        <v>0.49999886983785102</v>
      </c>
      <c r="AM59" s="995">
        <f t="shared" si="44"/>
        <v>0.49999886983785102</v>
      </c>
      <c r="AN59" s="171">
        <f t="shared" si="66"/>
        <v>0.99733163762410115</v>
      </c>
      <c r="AO59" s="172">
        <f t="shared" si="67"/>
        <v>0.9887243064916944</v>
      </c>
      <c r="AP59" s="172">
        <f t="shared" si="68"/>
        <v>8.1945986130940951E-2</v>
      </c>
      <c r="AQ59" s="172">
        <f t="shared" si="69"/>
        <v>0.67578289515986989</v>
      </c>
      <c r="AR59" s="445">
        <f t="shared" si="70"/>
        <v>0.42360144495079632</v>
      </c>
      <c r="AS59" s="168">
        <f t="shared" ca="1" si="46"/>
        <v>0.99999773967570205</v>
      </c>
      <c r="AT59" s="169">
        <f t="shared" ca="1" si="47"/>
        <v>0.99999773967570205</v>
      </c>
      <c r="AU59" s="169">
        <f t="shared" si="48"/>
        <v>0</v>
      </c>
      <c r="AV59" s="169">
        <f t="shared" ca="1" si="49"/>
        <v>2.0760162769656171E-3</v>
      </c>
      <c r="AW59" s="170">
        <f t="shared" ca="1" si="50"/>
        <v>7.2838826844172193E-4</v>
      </c>
      <c r="AX59" s="168">
        <f t="shared" ca="1" si="51"/>
        <v>0.9973293833311675</v>
      </c>
      <c r="AY59" s="169">
        <f t="shared" ca="1" si="52"/>
        <v>0.98872207165412052</v>
      </c>
      <c r="AZ59" s="169">
        <f t="shared" si="53"/>
        <v>0</v>
      </c>
      <c r="BA59" s="169">
        <f t="shared" ca="1" si="71"/>
        <v>1.402936290046839E-3</v>
      </c>
      <c r="BB59" s="170">
        <f t="shared" ca="1" si="72"/>
        <v>3.0854632299712192E-4</v>
      </c>
      <c r="BC59" s="168">
        <f t="shared" ca="1" si="73"/>
        <v>2.6706166688325039E-3</v>
      </c>
      <c r="BD59" s="169">
        <f t="shared" ca="1" si="56"/>
        <v>0.50039462958168879</v>
      </c>
      <c r="BE59" s="169">
        <f t="shared" ca="1" si="57"/>
        <v>0.49607604375606695</v>
      </c>
      <c r="BF59" s="169">
        <f t="shared" ca="1" si="58"/>
        <v>0</v>
      </c>
      <c r="BG59" s="169">
        <f t="shared" ca="1" si="59"/>
        <v>7.0390163662869566E-4</v>
      </c>
      <c r="BH59" s="170">
        <f t="shared" ca="1" si="60"/>
        <v>1.5480835678303626E-4</v>
      </c>
    </row>
    <row r="60" spans="1:60" x14ac:dyDescent="0.2">
      <c r="A60" s="189">
        <v>2043</v>
      </c>
      <c r="B60" s="667">
        <f t="shared" si="78"/>
        <v>163848.29</v>
      </c>
      <c r="C60" s="668">
        <f t="shared" si="78"/>
        <v>5726.11</v>
      </c>
      <c r="D60" s="668">
        <f t="shared" si="78"/>
        <v>10834.02</v>
      </c>
      <c r="E60" s="668">
        <f t="shared" si="78"/>
        <v>130970.96</v>
      </c>
      <c r="F60" s="668">
        <f t="shared" si="78"/>
        <v>53713.78</v>
      </c>
      <c r="G60" s="669">
        <f t="shared" si="78"/>
        <v>80701.81</v>
      </c>
      <c r="H60" s="628">
        <f t="shared" si="79"/>
        <v>1</v>
      </c>
      <c r="I60" s="629">
        <f t="shared" si="79"/>
        <v>1</v>
      </c>
      <c r="J60" s="629">
        <f t="shared" si="79"/>
        <v>1</v>
      </c>
      <c r="K60" s="629">
        <f t="shared" si="79"/>
        <v>1</v>
      </c>
      <c r="L60" s="629">
        <f t="shared" si="79"/>
        <v>1</v>
      </c>
      <c r="M60" s="630">
        <f t="shared" si="79"/>
        <v>0.68028333045306555</v>
      </c>
      <c r="N60" s="147">
        <f t="shared" si="28"/>
        <v>8568.8413912067026</v>
      </c>
      <c r="O60" s="148">
        <f t="shared" si="29"/>
        <v>6901.1150692376987</v>
      </c>
      <c r="P60" s="148">
        <f t="shared" si="30"/>
        <v>5983.9620873504764</v>
      </c>
      <c r="Q60" s="148">
        <f t="shared" si="31"/>
        <v>6874.5752529613646</v>
      </c>
      <c r="R60" s="148">
        <f t="shared" si="32"/>
        <v>6946.0009592835186</v>
      </c>
      <c r="S60" s="150">
        <f t="shared" si="33"/>
        <v>6541.8078473112328</v>
      </c>
      <c r="T60" s="581">
        <f t="shared" si="61"/>
        <v>1667.7263219690039</v>
      </c>
      <c r="U60" s="162">
        <f t="shared" si="62"/>
        <v>2584.8793038562262</v>
      </c>
      <c r="V60" s="162">
        <f t="shared" si="63"/>
        <v>1694.266138245338</v>
      </c>
      <c r="W60" s="162">
        <f t="shared" si="64"/>
        <v>1622.840431923184</v>
      </c>
      <c r="X60" s="163">
        <f t="shared" si="65"/>
        <v>2027.0335438954698</v>
      </c>
      <c r="Y60" s="165">
        <f ca="1">IF(AND(Y$22=TRUE,INDEX(CDRANGE_CLS1,MATCH($A60,$A$24:$A$67,0),MATCH(Y$20,$B$20:$G$20,0))&lt;$D$6/OPDAYS_Cls1),86,payback(C60,T60,disc_rate/12,85))</f>
        <v>4</v>
      </c>
      <c r="Z60" s="166">
        <f ca="1">IF(AND(Z$22=TRUE,INDEX(CDRANGE_CLS1,MATCH($A60,$A$24:$A$67,0),MATCH(Z$20,$B$20:$G$20,0))&lt;$D$6/OPDAYS_Cls1),86,payback(D60,U60,disc_rate/12,85))</f>
        <v>5</v>
      </c>
      <c r="AA60" s="166">
        <f>IF(AND(AA$22=TRUE,INDEX(CDRANGE_CLS1,MATCH($A60,$A$24:$A$67,0),MATCH(AA$20,$B$20:$G$20,0))&lt;$D$6/OPDAYS_Cls1),86,payback(E60,V60,disc_rate/12,85))</f>
        <v>86</v>
      </c>
      <c r="AB60" s="166">
        <f ca="1">IF(AND(AB$22=TRUE,INDEX(CDRANGE_CLS1,MATCH($A60,$A$24:$A$67,0),MATCH(AB$20,$B$20:$G$20,0))&lt;$D$6/OPDAYS_Cls1),86,payback(F60,W60,disc_rate/12,85))</f>
        <v>38</v>
      </c>
      <c r="AC60" s="439">
        <f ca="1">IF(AND(AC$22=TRUE,INDEX(CDRANGE_CLS1,MATCH($A60,$A$24:$A$67,0),MATCH(AC$20,$B$20:$G$20,0))&lt;$D$6/OPDAYS_Cls1),86,payback(G60,X60,disc_rate/12,85))</f>
        <v>46</v>
      </c>
      <c r="AD60" s="168">
        <f t="shared" si="35"/>
        <v>0</v>
      </c>
      <c r="AE60" s="169">
        <f t="shared" si="36"/>
        <v>0</v>
      </c>
      <c r="AF60" s="169">
        <f t="shared" si="37"/>
        <v>0</v>
      </c>
      <c r="AG60" s="169">
        <f t="shared" si="38"/>
        <v>0</v>
      </c>
      <c r="AH60" s="170">
        <f t="shared" si="39"/>
        <v>0</v>
      </c>
      <c r="AI60" s="986">
        <f t="shared" si="40"/>
        <v>0.49999958423598612</v>
      </c>
      <c r="AJ60" s="987">
        <f t="shared" si="41"/>
        <v>0.49999958423598612</v>
      </c>
      <c r="AK60" s="987">
        <f t="shared" si="42"/>
        <v>0.49999958423598612</v>
      </c>
      <c r="AL60" s="987">
        <f t="shared" si="43"/>
        <v>0.49999958423598612</v>
      </c>
      <c r="AM60" s="995">
        <f t="shared" si="44"/>
        <v>0.49999958423598612</v>
      </c>
      <c r="AN60" s="171">
        <f t="shared" si="66"/>
        <v>0.99661314534144207</v>
      </c>
      <c r="AO60" s="172">
        <f t="shared" si="67"/>
        <v>0.98792857939441248</v>
      </c>
      <c r="AP60" s="172">
        <f t="shared" si="68"/>
        <v>0.16950746104280856</v>
      </c>
      <c r="AQ60" s="172">
        <f t="shared" si="69"/>
        <v>0.74190949101741333</v>
      </c>
      <c r="AR60" s="445">
        <f t="shared" si="70"/>
        <v>0.50972884906278149</v>
      </c>
      <c r="AS60" s="168">
        <f t="shared" ca="1" si="46"/>
        <v>0.99999916847197223</v>
      </c>
      <c r="AT60" s="169">
        <f t="shared" ca="1" si="47"/>
        <v>0.99999916847197223</v>
      </c>
      <c r="AU60" s="169">
        <f t="shared" si="48"/>
        <v>0</v>
      </c>
      <c r="AV60" s="169">
        <f t="shared" ca="1" si="49"/>
        <v>0.18667640243376066</v>
      </c>
      <c r="AW60" s="170">
        <f t="shared" ca="1" si="50"/>
        <v>8.1430768536226869E-2</v>
      </c>
      <c r="AX60" s="168">
        <f t="shared" ca="1" si="51"/>
        <v>0.99661231662967886</v>
      </c>
      <c r="AY60" s="169">
        <f t="shared" ca="1" si="52"/>
        <v>0.98792775790410925</v>
      </c>
      <c r="AZ60" s="169">
        <f t="shared" si="53"/>
        <v>0</v>
      </c>
      <c r="BA60" s="169">
        <f t="shared" ca="1" si="71"/>
        <v>0.13849699471459317</v>
      </c>
      <c r="BB60" s="170">
        <f t="shared" ca="1" si="72"/>
        <v>4.1507611924268682E-2</v>
      </c>
      <c r="BC60" s="168">
        <f t="shared" ca="1" si="73"/>
        <v>3.3876833703211373E-3</v>
      </c>
      <c r="BD60" s="169">
        <f t="shared" ca="1" si="56"/>
        <v>0.45886606929263574</v>
      </c>
      <c r="BE60" s="169">
        <f t="shared" ca="1" si="57"/>
        <v>0.45486747399188748</v>
      </c>
      <c r="BF60" s="169">
        <f t="shared" ca="1" si="58"/>
        <v>0</v>
      </c>
      <c r="BG60" s="169">
        <f t="shared" ca="1" si="59"/>
        <v>6.3767595998056273E-2</v>
      </c>
      <c r="BH60" s="170">
        <f t="shared" ca="1" si="60"/>
        <v>1.9111177347099328E-2</v>
      </c>
    </row>
    <row r="61" spans="1:60" x14ac:dyDescent="0.2">
      <c r="A61" s="189">
        <v>2044</v>
      </c>
      <c r="B61" s="667">
        <f t="shared" si="78"/>
        <v>163848.29</v>
      </c>
      <c r="C61" s="668">
        <f t="shared" si="78"/>
        <v>6332.46</v>
      </c>
      <c r="D61" s="668">
        <f t="shared" si="78"/>
        <v>11177.71</v>
      </c>
      <c r="E61" s="668">
        <f t="shared" si="78"/>
        <v>107898.64</v>
      </c>
      <c r="F61" s="668">
        <f t="shared" si="78"/>
        <v>46348.3</v>
      </c>
      <c r="G61" s="669">
        <f t="shared" si="78"/>
        <v>70906.080000000002</v>
      </c>
      <c r="H61" s="628">
        <f t="shared" si="79"/>
        <v>1</v>
      </c>
      <c r="I61" s="629">
        <f t="shared" si="79"/>
        <v>1</v>
      </c>
      <c r="J61" s="629">
        <f t="shared" si="79"/>
        <v>1</v>
      </c>
      <c r="K61" s="629">
        <f t="shared" si="79"/>
        <v>1</v>
      </c>
      <c r="L61" s="629">
        <f t="shared" si="79"/>
        <v>1</v>
      </c>
      <c r="M61" s="630">
        <f t="shared" si="79"/>
        <v>0.66690372333464032</v>
      </c>
      <c r="N61" s="147">
        <f t="shared" si="28"/>
        <v>8635.8425958735224</v>
      </c>
      <c r="O61" s="148">
        <f t="shared" si="29"/>
        <v>6786.3771967245066</v>
      </c>
      <c r="P61" s="148">
        <f t="shared" si="30"/>
        <v>5819.9738391271458</v>
      </c>
      <c r="Q61" s="148">
        <f t="shared" si="31"/>
        <v>5870.7388032005665</v>
      </c>
      <c r="R61" s="148">
        <f t="shared" si="32"/>
        <v>6503.8865138465189</v>
      </c>
      <c r="S61" s="150">
        <f t="shared" si="33"/>
        <v>6089.1501070119848</v>
      </c>
      <c r="T61" s="581">
        <f t="shared" si="61"/>
        <v>1849.4653991490159</v>
      </c>
      <c r="U61" s="162">
        <f t="shared" si="62"/>
        <v>2815.8687567463767</v>
      </c>
      <c r="V61" s="162">
        <f t="shared" si="63"/>
        <v>2765.1037926729559</v>
      </c>
      <c r="W61" s="162">
        <f t="shared" si="64"/>
        <v>2131.9560820270035</v>
      </c>
      <c r="X61" s="163">
        <f t="shared" si="65"/>
        <v>2546.6924888615376</v>
      </c>
      <c r="Y61" s="165">
        <f ca="1">IF(AND(Y$22=TRUE,INDEX(CDRANGE_CLS1,MATCH($A61,$A$24:$A$67,0),MATCH(Y$20,$B$20:$G$20,0))&lt;$D$6/OPDAYS_Cls1),86,payback(C61,T61,disc_rate/12,85))</f>
        <v>4</v>
      </c>
      <c r="Z61" s="166">
        <f ca="1">IF(AND(Z$22=TRUE,INDEX(CDRANGE_CLS1,MATCH($A61,$A$24:$A$67,0),MATCH(Z$20,$B$20:$G$20,0))&lt;$D$6/OPDAYS_Cls1),86,payback(D61,U61,disc_rate/12,85))</f>
        <v>5</v>
      </c>
      <c r="AA61" s="166">
        <f>IF(AND(AA$22=TRUE,INDEX(CDRANGE_CLS1,MATCH($A61,$A$24:$A$67,0),MATCH(AA$20,$B$20:$G$20,0))&lt;$D$6/OPDAYS_Cls1),86,payback(E61,V61,disc_rate/12,85))</f>
        <v>86</v>
      </c>
      <c r="AB61" s="166">
        <f ca="1">IF(AND(AB$22=TRUE,INDEX(CDRANGE_CLS1,MATCH($A61,$A$24:$A$67,0),MATCH(AB$20,$B$20:$G$20,0))&lt;$D$6/OPDAYS_Cls1),86,payback(F61,W61,disc_rate/12,85))</f>
        <v>24</v>
      </c>
      <c r="AC61" s="439">
        <f ca="1">IF(AND(AC$22=TRUE,INDEX(CDRANGE_CLS1,MATCH($A61,$A$24:$A$67,0),MATCH(AC$20,$B$20:$G$20,0))&lt;$D$6/OPDAYS_Cls1),86,payback(G61,X61,disc_rate/12,85))</f>
        <v>31</v>
      </c>
      <c r="AD61" s="168">
        <f t="shared" si="35"/>
        <v>0</v>
      </c>
      <c r="AE61" s="169">
        <f t="shared" si="36"/>
        <v>0</v>
      </c>
      <c r="AF61" s="169">
        <f t="shared" si="37"/>
        <v>0</v>
      </c>
      <c r="AG61" s="169">
        <f t="shared" si="38"/>
        <v>0</v>
      </c>
      <c r="AH61" s="170">
        <f t="shared" si="39"/>
        <v>0</v>
      </c>
      <c r="AI61" s="986">
        <f t="shared" si="40"/>
        <v>0.4999998470488865</v>
      </c>
      <c r="AJ61" s="987">
        <f t="shared" si="41"/>
        <v>0.4999998470488865</v>
      </c>
      <c r="AK61" s="987">
        <f t="shared" si="42"/>
        <v>0.4999998470488865</v>
      </c>
      <c r="AL61" s="987">
        <f t="shared" si="43"/>
        <v>0.4999998470488865</v>
      </c>
      <c r="AM61" s="995">
        <f t="shared" si="44"/>
        <v>0.4999998470488865</v>
      </c>
      <c r="AN61" s="171">
        <f t="shared" si="66"/>
        <v>0.99585945108779617</v>
      </c>
      <c r="AO61" s="172">
        <f t="shared" si="67"/>
        <v>0.98715556010783967</v>
      </c>
      <c r="AP61" s="172">
        <f t="shared" si="68"/>
        <v>0.29980960902165854</v>
      </c>
      <c r="AQ61" s="172">
        <f t="shared" si="69"/>
        <v>0.80069896524543605</v>
      </c>
      <c r="AR61" s="445">
        <f t="shared" si="70"/>
        <v>0.59439433832019195</v>
      </c>
      <c r="AS61" s="168">
        <f t="shared" ca="1" si="46"/>
        <v>0.99999969409777301</v>
      </c>
      <c r="AT61" s="169">
        <f t="shared" ca="1" si="47"/>
        <v>0.99999969409777301</v>
      </c>
      <c r="AU61" s="169">
        <f t="shared" si="48"/>
        <v>0</v>
      </c>
      <c r="AV61" s="169">
        <f t="shared" ca="1" si="49"/>
        <v>0.55111393286627675</v>
      </c>
      <c r="AW61" s="170">
        <f t="shared" ca="1" si="50"/>
        <v>0.34087246441484048</v>
      </c>
      <c r="AX61" s="168">
        <f t="shared" ca="1" si="51"/>
        <v>0.99585914645217233</v>
      </c>
      <c r="AY61" s="169">
        <f t="shared" ca="1" si="52"/>
        <v>0.98715525813475546</v>
      </c>
      <c r="AZ61" s="169">
        <f t="shared" si="53"/>
        <v>0</v>
      </c>
      <c r="BA61" s="169">
        <f t="shared" ca="1" si="71"/>
        <v>0.44127635577837049</v>
      </c>
      <c r="BB61" s="170">
        <f t="shared" ca="1" si="72"/>
        <v>0.2026126629374323</v>
      </c>
      <c r="BC61" s="168">
        <f t="shared" ca="1" si="73"/>
        <v>4.140853547827561E-3</v>
      </c>
      <c r="BD61" s="169">
        <f t="shared" ca="1" si="56"/>
        <v>0.37753022466489028</v>
      </c>
      <c r="BE61" s="169">
        <f t="shared" ca="1" si="57"/>
        <v>0.3742305804093356</v>
      </c>
      <c r="BF61" s="169">
        <f t="shared" ca="1" si="58"/>
        <v>0</v>
      </c>
      <c r="BG61" s="169">
        <f t="shared" ca="1" si="59"/>
        <v>0.16728787633253239</v>
      </c>
      <c r="BH61" s="170">
        <f t="shared" ca="1" si="60"/>
        <v>7.6810465045414084E-2</v>
      </c>
    </row>
    <row r="62" spans="1:60" ht="13.5" thickBot="1" x14ac:dyDescent="0.25">
      <c r="A62" s="174">
        <v>2045</v>
      </c>
      <c r="B62" s="670">
        <f t="shared" si="78"/>
        <v>163848.29</v>
      </c>
      <c r="C62" s="671">
        <f t="shared" si="78"/>
        <v>6840.97</v>
      </c>
      <c r="D62" s="671">
        <f t="shared" si="78"/>
        <v>11465.93</v>
      </c>
      <c r="E62" s="671">
        <f t="shared" si="78"/>
        <v>88549.57</v>
      </c>
      <c r="F62" s="671">
        <f t="shared" si="78"/>
        <v>40171.42</v>
      </c>
      <c r="G62" s="672">
        <f t="shared" si="78"/>
        <v>62691.12</v>
      </c>
      <c r="H62" s="628">
        <f t="shared" si="79"/>
        <v>1</v>
      </c>
      <c r="I62" s="629">
        <f t="shared" si="79"/>
        <v>1</v>
      </c>
      <c r="J62" s="629">
        <f t="shared" si="79"/>
        <v>1</v>
      </c>
      <c r="K62" s="629">
        <f t="shared" si="79"/>
        <v>1</v>
      </c>
      <c r="L62" s="629">
        <f t="shared" si="79"/>
        <v>1</v>
      </c>
      <c r="M62" s="630">
        <f t="shared" si="79"/>
        <v>0.6556832281922792</v>
      </c>
      <c r="N62" s="625">
        <f t="shared" si="28"/>
        <v>8754.4285033401902</v>
      </c>
      <c r="O62" s="626">
        <f t="shared" si="29"/>
        <v>6742.4134235334004</v>
      </c>
      <c r="P62" s="626">
        <f t="shared" si="30"/>
        <v>5731.8857897553371</v>
      </c>
      <c r="Q62" s="626">
        <f t="shared" si="31"/>
        <v>5051.7310397425836</v>
      </c>
      <c r="R62" s="626">
        <f t="shared" si="32"/>
        <v>6133.5808659482582</v>
      </c>
      <c r="S62" s="627">
        <f t="shared" si="33"/>
        <v>5734.9553507457558</v>
      </c>
      <c r="T62" s="584">
        <f t="shared" si="61"/>
        <v>2012.0150798067898</v>
      </c>
      <c r="U62" s="176">
        <f t="shared" si="62"/>
        <v>3022.5427135848531</v>
      </c>
      <c r="V62" s="176">
        <f t="shared" si="63"/>
        <v>3702.6974635976067</v>
      </c>
      <c r="W62" s="176">
        <f t="shared" si="64"/>
        <v>2620.847637391932</v>
      </c>
      <c r="X62" s="177">
        <f t="shared" si="65"/>
        <v>3019.4731525944344</v>
      </c>
      <c r="Y62" s="179">
        <f ca="1">IF(AND(Y$22=TRUE,INDEX(CDRANGE_CLS1,MATCH($A62,$A$24:$A$67,0),MATCH(Y$20,$B$20:$G$20,0))&lt;$D$6/OPDAYS_Cls1),86,payback(C62,T62,disc_rate/12,85))</f>
        <v>4</v>
      </c>
      <c r="Z62" s="180">
        <f ca="1">IF(AND(Z$22=TRUE,INDEX(CDRANGE_CLS1,MATCH($A62,$A$24:$A$67,0),MATCH(Z$20,$B$20:$G$20,0))&lt;$D$6/OPDAYS_Cls1),86,payback(D62,U62,disc_rate/12,85))</f>
        <v>4</v>
      </c>
      <c r="AA62" s="180">
        <f>IF(AND(AA$22=TRUE,INDEX(CDRANGE_CLS1,MATCH($A62,$A$24:$A$67,0),MATCH(AA$20,$B$20:$G$20,0))&lt;$D$6/OPDAYS_Cls1),86,payback(E62,V62,disc_rate/12,85))</f>
        <v>86</v>
      </c>
      <c r="AB62" s="180">
        <f ca="1">IF(AND(AB$22=TRUE,INDEX(CDRANGE_CLS1,MATCH($A62,$A$24:$A$67,0),MATCH(AB$20,$B$20:$G$20,0))&lt;$D$6/OPDAYS_Cls1),86,payback(F62,W62,disc_rate/12,85))</f>
        <v>17</v>
      </c>
      <c r="AC62" s="440">
        <f ca="1">IF(AND(AC$22=TRUE,INDEX(CDRANGE_CLS1,MATCH($A62,$A$24:$A$67,0),MATCH(AC$20,$B$20:$G$20,0))&lt;$D$6/OPDAYS_Cls1),86,payback(G62,X62,disc_rate/12,85))</f>
        <v>23</v>
      </c>
      <c r="AD62" s="182">
        <f t="shared" si="35"/>
        <v>0</v>
      </c>
      <c r="AE62" s="183">
        <f t="shared" si="36"/>
        <v>0</v>
      </c>
      <c r="AF62" s="183">
        <f t="shared" si="37"/>
        <v>0</v>
      </c>
      <c r="AG62" s="183">
        <f t="shared" si="38"/>
        <v>0</v>
      </c>
      <c r="AH62" s="184">
        <f t="shared" si="39"/>
        <v>0</v>
      </c>
      <c r="AI62" s="989">
        <f t="shared" si="40"/>
        <v>0.49999994373241896</v>
      </c>
      <c r="AJ62" s="990">
        <f t="shared" si="41"/>
        <v>0.49999994373241896</v>
      </c>
      <c r="AK62" s="990">
        <f t="shared" si="42"/>
        <v>0.49999994373241896</v>
      </c>
      <c r="AL62" s="990">
        <f t="shared" si="43"/>
        <v>0.49999994373241896</v>
      </c>
      <c r="AM62" s="996">
        <f t="shared" si="44"/>
        <v>0.49999994373241896</v>
      </c>
      <c r="AN62" s="185">
        <f t="shared" si="66"/>
        <v>0.99516943441227546</v>
      </c>
      <c r="AO62" s="186">
        <f t="shared" si="67"/>
        <v>0.98648917850729934</v>
      </c>
      <c r="AP62" s="186">
        <f t="shared" si="68"/>
        <v>0.44427588545275487</v>
      </c>
      <c r="AQ62" s="186">
        <f t="shared" si="69"/>
        <v>0.84622187669503257</v>
      </c>
      <c r="AR62" s="446">
        <f t="shared" si="70"/>
        <v>0.66587411800137442</v>
      </c>
      <c r="AS62" s="182">
        <f t="shared" ca="1" si="46"/>
        <v>0.99999988746483792</v>
      </c>
      <c r="AT62" s="183">
        <f t="shared" ca="1" si="47"/>
        <v>0.99999988746483792</v>
      </c>
      <c r="AU62" s="183">
        <f t="shared" si="48"/>
        <v>0</v>
      </c>
      <c r="AV62" s="183">
        <f t="shared" ca="1" si="49"/>
        <v>0.78227998137290067</v>
      </c>
      <c r="AW62" s="184">
        <f t="shared" ca="1" si="50"/>
        <v>0.58417119354981395</v>
      </c>
      <c r="AX62" s="182">
        <f t="shared" ca="1" si="51"/>
        <v>0.99516932242072187</v>
      </c>
      <c r="AY62" s="183">
        <f t="shared" ca="1" si="52"/>
        <v>0.9864890674925797</v>
      </c>
      <c r="AZ62" s="183">
        <f t="shared" si="53"/>
        <v>0</v>
      </c>
      <c r="BA62" s="183">
        <f t="shared" ca="1" si="71"/>
        <v>0.66198243393833112</v>
      </c>
      <c r="BB62" s="184">
        <f t="shared" ca="1" si="72"/>
        <v>0.38898447826679255</v>
      </c>
      <c r="BC62" s="182">
        <f t="shared" ca="1" si="73"/>
        <v>4.8306775792781309E-3</v>
      </c>
      <c r="BD62" s="183">
        <f t="shared" ca="1" si="56"/>
        <v>0.32656918729640166</v>
      </c>
      <c r="BE62" s="183">
        <f t="shared" ca="1" si="57"/>
        <v>0.32372072348874165</v>
      </c>
      <c r="BF62" s="183">
        <f t="shared" ca="1" si="58"/>
        <v>0</v>
      </c>
      <c r="BG62" s="183">
        <f t="shared" ca="1" si="59"/>
        <v>0.21723244535902228</v>
      </c>
      <c r="BH62" s="184">
        <f t="shared" ca="1" si="60"/>
        <v>0.12764696627655628</v>
      </c>
    </row>
    <row r="63" spans="1:60" x14ac:dyDescent="0.2">
      <c r="A63" s="188">
        <v>2046</v>
      </c>
      <c r="B63" s="673">
        <f t="shared" si="78"/>
        <v>163848.29</v>
      </c>
      <c r="C63" s="674">
        <f t="shared" si="78"/>
        <v>7227.85</v>
      </c>
      <c r="D63" s="674">
        <f t="shared" si="78"/>
        <v>11685.21</v>
      </c>
      <c r="E63" s="674">
        <f t="shared" si="78"/>
        <v>73828.34</v>
      </c>
      <c r="F63" s="674">
        <f t="shared" si="78"/>
        <v>35471.9</v>
      </c>
      <c r="G63" s="675">
        <f t="shared" si="78"/>
        <v>56440.98</v>
      </c>
      <c r="H63" s="628">
        <f t="shared" si="79"/>
        <v>1</v>
      </c>
      <c r="I63" s="629">
        <f t="shared" si="79"/>
        <v>1</v>
      </c>
      <c r="J63" s="629">
        <f t="shared" si="79"/>
        <v>1</v>
      </c>
      <c r="K63" s="629">
        <f t="shared" si="79"/>
        <v>1</v>
      </c>
      <c r="L63" s="629">
        <f t="shared" si="79"/>
        <v>1</v>
      </c>
      <c r="M63" s="630">
        <f t="shared" si="79"/>
        <v>0.64714640552864466</v>
      </c>
      <c r="N63" s="478">
        <f t="shared" si="28"/>
        <v>8759.6525392855856</v>
      </c>
      <c r="O63" s="479">
        <f t="shared" si="29"/>
        <v>6645.6310420559594</v>
      </c>
      <c r="P63" s="479">
        <f t="shared" si="30"/>
        <v>5613.6794738674562</v>
      </c>
      <c r="Q63" s="479">
        <f t="shared" si="31"/>
        <v>4475.0820283206385</v>
      </c>
      <c r="R63" s="479">
        <f t="shared" si="32"/>
        <v>5830.1482127233994</v>
      </c>
      <c r="S63" s="592">
        <f t="shared" si="33"/>
        <v>5435.9769455346341</v>
      </c>
      <c r="T63" s="580">
        <f t="shared" si="61"/>
        <v>2114.0214972296262</v>
      </c>
      <c r="U63" s="148">
        <f t="shared" si="62"/>
        <v>3145.9730654181294</v>
      </c>
      <c r="V63" s="148">
        <f t="shared" si="63"/>
        <v>4284.5705109649471</v>
      </c>
      <c r="W63" s="148">
        <f t="shared" si="64"/>
        <v>2929.5043265621862</v>
      </c>
      <c r="X63" s="149">
        <f t="shared" si="65"/>
        <v>3323.6755937509515</v>
      </c>
      <c r="Y63" s="151">
        <f ca="1">IF(AND(Y$22=TRUE,INDEX(CDRANGE_CLS1,MATCH($A63,$A$24:$A$67,0),MATCH(Y$20,$B$20:$G$20,0))&lt;$D$6/OPDAYS_Cls1),86,payback(C63,T63,disc_rate/12,85))</f>
        <v>4</v>
      </c>
      <c r="Z63" s="152">
        <f ca="1">IF(AND(Z$22=TRUE,INDEX(CDRANGE_CLS1,MATCH($A63,$A$24:$A$67,0),MATCH(Z$20,$B$20:$G$20,0))&lt;$D$6/OPDAYS_Cls1),86,payback(D63,U63,disc_rate/12,85))</f>
        <v>4</v>
      </c>
      <c r="AA63" s="152">
        <f>IF(AND(AA$22=TRUE,INDEX(CDRANGE_CLS1,MATCH($A63,$A$24:$A$67,0),MATCH(AA$20,$B$20:$G$20,0))&lt;$D$6/OPDAYS_Cls1),86,payback(E63,V63,disc_rate/12,85))</f>
        <v>86</v>
      </c>
      <c r="AB63" s="152">
        <f ca="1">IF(AND(AB$22=TRUE,INDEX(CDRANGE_CLS1,MATCH($A63,$A$24:$A$67,0),MATCH(AB$20,$B$20:$G$20,0))&lt;$D$6/OPDAYS_Cls1),86,payback(F63,W63,disc_rate/12,85))</f>
        <v>13</v>
      </c>
      <c r="AC63" s="457">
        <f ca="1">IF(AND(AC$22=TRUE,INDEX(CDRANGE_CLS1,MATCH($A63,$A$24:$A$67,0),MATCH(AC$20,$B$20:$G$20,0))&lt;$D$6/OPDAYS_Cls1),86,payback(G63,X63,disc_rate/12,85))</f>
        <v>19</v>
      </c>
      <c r="AD63" s="154">
        <f t="shared" si="35"/>
        <v>0</v>
      </c>
      <c r="AE63" s="155">
        <f t="shared" si="36"/>
        <v>0</v>
      </c>
      <c r="AF63" s="155">
        <f t="shared" si="37"/>
        <v>0</v>
      </c>
      <c r="AG63" s="155">
        <f t="shared" si="38"/>
        <v>0</v>
      </c>
      <c r="AH63" s="156">
        <f t="shared" si="39"/>
        <v>0</v>
      </c>
      <c r="AI63" s="983">
        <f t="shared" si="40"/>
        <v>0.4999999793003122</v>
      </c>
      <c r="AJ63" s="984">
        <f t="shared" si="41"/>
        <v>0.4999999793003122</v>
      </c>
      <c r="AK63" s="984">
        <f t="shared" si="42"/>
        <v>0.4999999793003122</v>
      </c>
      <c r="AL63" s="984">
        <f t="shared" si="43"/>
        <v>0.4999999793003122</v>
      </c>
      <c r="AM63" s="997">
        <f t="shared" si="44"/>
        <v>0.4999999793003122</v>
      </c>
      <c r="AN63" s="157">
        <f t="shared" si="66"/>
        <v>0.99460913216230729</v>
      </c>
      <c r="AO63" s="158">
        <f t="shared" si="67"/>
        <v>0.98597113844672091</v>
      </c>
      <c r="AP63" s="158">
        <f t="shared" si="68"/>
        <v>0.56894299459458275</v>
      </c>
      <c r="AQ63" s="158">
        <f t="shared" si="69"/>
        <v>0.87792730624899395</v>
      </c>
      <c r="AR63" s="458">
        <f t="shared" si="70"/>
        <v>0.7192028663286647</v>
      </c>
      <c r="AS63" s="154">
        <f t="shared" ca="1" si="46"/>
        <v>0.99999995860062441</v>
      </c>
      <c r="AT63" s="155">
        <f t="shared" ca="1" si="47"/>
        <v>0.99999995860062441</v>
      </c>
      <c r="AU63" s="155">
        <f t="shared" si="48"/>
        <v>0</v>
      </c>
      <c r="AV63" s="155">
        <f t="shared" ca="1" si="49"/>
        <v>0.89687213711961367</v>
      </c>
      <c r="AW63" s="156">
        <f t="shared" ca="1" si="50"/>
        <v>0.71771774017655232</v>
      </c>
      <c r="AX63" s="154">
        <f t="shared" ca="1" si="51"/>
        <v>0.99460909098611028</v>
      </c>
      <c r="AY63" s="155">
        <f t="shared" ca="1" si="52"/>
        <v>0.9859710976281314</v>
      </c>
      <c r="AZ63" s="155">
        <f t="shared" si="53"/>
        <v>0</v>
      </c>
      <c r="BA63" s="155">
        <f t="shared" ca="1" si="71"/>
        <v>0.78738853939120079</v>
      </c>
      <c r="BB63" s="156">
        <f t="shared" ca="1" si="72"/>
        <v>0.51618465594990826</v>
      </c>
      <c r="BC63" s="154">
        <f t="shared" ca="1" si="73"/>
        <v>5.390909013889722E-3</v>
      </c>
      <c r="BD63" s="155">
        <f t="shared" ca="1" si="56"/>
        <v>0.30121834403507441</v>
      </c>
      <c r="BE63" s="155">
        <f t="shared" ca="1" si="57"/>
        <v>0.29860231922828656</v>
      </c>
      <c r="BF63" s="155">
        <f t="shared" ca="1" si="58"/>
        <v>0</v>
      </c>
      <c r="BG63" s="155">
        <f t="shared" ca="1" si="59"/>
        <v>0.23846139563480584</v>
      </c>
      <c r="BH63" s="156">
        <f t="shared" ca="1" si="60"/>
        <v>0.15632703208794352</v>
      </c>
    </row>
    <row r="64" spans="1:60" x14ac:dyDescent="0.2">
      <c r="A64" s="189">
        <v>2047</v>
      </c>
      <c r="B64" s="667">
        <f t="shared" si="78"/>
        <v>163848.29</v>
      </c>
      <c r="C64" s="668">
        <f t="shared" si="78"/>
        <v>7500.95</v>
      </c>
      <c r="D64" s="668">
        <f t="shared" si="78"/>
        <v>11840.01</v>
      </c>
      <c r="E64" s="668">
        <f t="shared" si="78"/>
        <v>63436.58</v>
      </c>
      <c r="F64" s="668">
        <f t="shared" si="78"/>
        <v>32154.49</v>
      </c>
      <c r="G64" s="669">
        <f t="shared" si="78"/>
        <v>52028.99</v>
      </c>
      <c r="H64" s="628">
        <f t="shared" si="79"/>
        <v>1</v>
      </c>
      <c r="I64" s="629">
        <f t="shared" si="79"/>
        <v>1</v>
      </c>
      <c r="J64" s="629">
        <f t="shared" si="79"/>
        <v>1</v>
      </c>
      <c r="K64" s="629">
        <f t="shared" si="79"/>
        <v>1</v>
      </c>
      <c r="L64" s="629">
        <f t="shared" si="79"/>
        <v>1</v>
      </c>
      <c r="M64" s="630">
        <f t="shared" si="79"/>
        <v>0.64112023699802945</v>
      </c>
      <c r="N64" s="147">
        <f t="shared" si="28"/>
        <v>8841.4362216674272</v>
      </c>
      <c r="O64" s="148">
        <f t="shared" si="29"/>
        <v>6637.6631779686431</v>
      </c>
      <c r="P64" s="148">
        <f t="shared" si="30"/>
        <v>5582.519605294794</v>
      </c>
      <c r="Q64" s="148">
        <f t="shared" si="31"/>
        <v>4131.8322033324393</v>
      </c>
      <c r="R64" s="148">
        <f t="shared" si="32"/>
        <v>5579.4190147928621</v>
      </c>
      <c r="S64" s="150">
        <f t="shared" si="33"/>
        <v>5278.8604059329809</v>
      </c>
      <c r="T64" s="581">
        <f t="shared" si="61"/>
        <v>2203.773043698784</v>
      </c>
      <c r="U64" s="162">
        <f t="shared" si="62"/>
        <v>3258.9166163726331</v>
      </c>
      <c r="V64" s="162">
        <f t="shared" si="63"/>
        <v>4709.6040183349878</v>
      </c>
      <c r="W64" s="162">
        <f t="shared" si="64"/>
        <v>3262.0172068745651</v>
      </c>
      <c r="X64" s="163">
        <f t="shared" si="65"/>
        <v>3562.5758157344462</v>
      </c>
      <c r="Y64" s="165">
        <f ca="1">IF(AND(Y$22=TRUE,INDEX(CDRANGE_CLS1,MATCH($A64,$A$24:$A$67,0),MATCH(Y$20,$B$20:$G$20,0))&lt;$D$6/OPDAYS_Cls1),86,payback(C64,T64,disc_rate/12,85))</f>
        <v>4</v>
      </c>
      <c r="Z64" s="166">
        <f ca="1">IF(AND(Z$22=TRUE,INDEX(CDRANGE_CLS1,MATCH($A64,$A$24:$A$67,0),MATCH(Z$20,$B$20:$G$20,0))&lt;$D$6/OPDAYS_Cls1),86,payback(D64,U64,disc_rate/12,85))</f>
        <v>4</v>
      </c>
      <c r="AA64" s="166">
        <f>IF(AND(AA$22=TRUE,INDEX(CDRANGE_CLS1,MATCH($A64,$A$24:$A$67,0),MATCH(AA$20,$B$20:$G$20,0))&lt;$D$6/OPDAYS_Cls1),86,payback(E64,V64,disc_rate/12,85))</f>
        <v>86</v>
      </c>
      <c r="AB64" s="166">
        <f ca="1">IF(AND(AB$22=TRUE,INDEX(CDRANGE_CLS1,MATCH($A64,$A$24:$A$67,0),MATCH(AB$20,$B$20:$G$20,0))&lt;$D$6/OPDAYS_Cls1),86,payback(F64,W64,disc_rate/12,85))</f>
        <v>11</v>
      </c>
      <c r="AC64" s="439">
        <f ca="1">IF(AND(AC$22=TRUE,INDEX(CDRANGE_CLS1,MATCH($A64,$A$24:$A$67,0),MATCH(AC$20,$B$20:$G$20,0))&lt;$D$6/OPDAYS_Cls1),86,payback(G64,X64,disc_rate/12,85))</f>
        <v>16</v>
      </c>
      <c r="AD64" s="168">
        <f t="shared" si="35"/>
        <v>0</v>
      </c>
      <c r="AE64" s="169">
        <f t="shared" si="36"/>
        <v>0</v>
      </c>
      <c r="AF64" s="169">
        <f t="shared" si="37"/>
        <v>0</v>
      </c>
      <c r="AG64" s="169">
        <f t="shared" si="38"/>
        <v>0</v>
      </c>
      <c r="AH64" s="170">
        <f t="shared" si="39"/>
        <v>0</v>
      </c>
      <c r="AI64" s="986">
        <f t="shared" si="40"/>
        <v>0.49999999238501025</v>
      </c>
      <c r="AJ64" s="987">
        <f t="shared" si="41"/>
        <v>0.49999999238501025</v>
      </c>
      <c r="AK64" s="987">
        <f t="shared" si="42"/>
        <v>0.49999999238501025</v>
      </c>
      <c r="AL64" s="987">
        <f t="shared" si="43"/>
        <v>0.49999999238501025</v>
      </c>
      <c r="AM64" s="995">
        <f t="shared" si="44"/>
        <v>0.49999999238501025</v>
      </c>
      <c r="AN64" s="171">
        <f t="shared" si="66"/>
        <v>0.99419526134310388</v>
      </c>
      <c r="AO64" s="172">
        <f t="shared" si="67"/>
        <v>0.98559968815388632</v>
      </c>
      <c r="AP64" s="172">
        <f t="shared" si="68"/>
        <v>0.65942753154365463</v>
      </c>
      <c r="AQ64" s="172">
        <f t="shared" si="69"/>
        <v>0.89854489855061104</v>
      </c>
      <c r="AR64" s="445">
        <f t="shared" si="70"/>
        <v>0.75571238056051637</v>
      </c>
      <c r="AS64" s="168">
        <f t="shared" ca="1" si="46"/>
        <v>0.9999999847700205</v>
      </c>
      <c r="AT64" s="169">
        <f t="shared" ca="1" si="47"/>
        <v>0.9999999847700205</v>
      </c>
      <c r="AU64" s="169">
        <f t="shared" si="48"/>
        <v>0</v>
      </c>
      <c r="AV64" s="169">
        <f t="shared" ca="1" si="49"/>
        <v>0.94233241180480543</v>
      </c>
      <c r="AW64" s="170">
        <f t="shared" ca="1" si="50"/>
        <v>0.8131554488924263</v>
      </c>
      <c r="AX64" s="168">
        <f t="shared" ca="1" si="51"/>
        <v>0.99419524620153044</v>
      </c>
      <c r="AY64" s="169">
        <f t="shared" ca="1" si="52"/>
        <v>0.98559967314322328</v>
      </c>
      <c r="AZ64" s="169">
        <f t="shared" si="53"/>
        <v>0</v>
      </c>
      <c r="BA64" s="169">
        <f t="shared" ca="1" si="71"/>
        <v>0.8467279813661015</v>
      </c>
      <c r="BB64" s="170">
        <f t="shared" ca="1" si="72"/>
        <v>0.61451164004825076</v>
      </c>
      <c r="BC64" s="168">
        <f t="shared" ca="1" si="73"/>
        <v>5.8047537984694531E-3</v>
      </c>
      <c r="BD64" s="169">
        <f t="shared" ca="1" si="56"/>
        <v>0.28724622663964061</v>
      </c>
      <c r="BE64" s="169">
        <f t="shared" ca="1" si="57"/>
        <v>0.2847627648284547</v>
      </c>
      <c r="BF64" s="169">
        <f t="shared" ca="1" si="58"/>
        <v>0</v>
      </c>
      <c r="BG64" s="169">
        <f t="shared" ca="1" si="59"/>
        <v>0.24463948964438148</v>
      </c>
      <c r="BH64" s="170">
        <f t="shared" ca="1" si="60"/>
        <v>0.17754676508905376</v>
      </c>
    </row>
    <row r="65" spans="1:60" x14ac:dyDescent="0.2">
      <c r="A65" s="189">
        <v>2048</v>
      </c>
      <c r="B65" s="667">
        <f t="shared" si="78"/>
        <v>163848.29</v>
      </c>
      <c r="C65" s="668">
        <f t="shared" si="78"/>
        <v>7683.69</v>
      </c>
      <c r="D65" s="668">
        <f t="shared" si="78"/>
        <v>11943.59</v>
      </c>
      <c r="E65" s="668">
        <f t="shared" si="78"/>
        <v>56482.91</v>
      </c>
      <c r="F65" s="668">
        <f t="shared" si="78"/>
        <v>29934.639999999999</v>
      </c>
      <c r="G65" s="669">
        <f t="shared" si="78"/>
        <v>49076.7</v>
      </c>
      <c r="H65" s="628">
        <f t="shared" si="79"/>
        <v>1</v>
      </c>
      <c r="I65" s="629">
        <f t="shared" si="79"/>
        <v>1</v>
      </c>
      <c r="J65" s="629">
        <f t="shared" si="79"/>
        <v>1</v>
      </c>
      <c r="K65" s="629">
        <f t="shared" si="79"/>
        <v>1</v>
      </c>
      <c r="L65" s="629">
        <f t="shared" si="79"/>
        <v>1</v>
      </c>
      <c r="M65" s="630">
        <f t="shared" si="79"/>
        <v>0.6370878118486839</v>
      </c>
      <c r="N65" s="147">
        <f t="shared" si="28"/>
        <v>8916.4800973471174</v>
      </c>
      <c r="O65" s="148">
        <f t="shared" si="29"/>
        <v>6647.5680256322703</v>
      </c>
      <c r="P65" s="148">
        <f t="shared" si="30"/>
        <v>5574.8777474160534</v>
      </c>
      <c r="Q65" s="148">
        <f t="shared" si="31"/>
        <v>3955.6148796232565</v>
      </c>
      <c r="R65" s="148">
        <f t="shared" si="32"/>
        <v>5366.013531559759</v>
      </c>
      <c r="S65" s="150">
        <f t="shared" si="33"/>
        <v>5200.1104903984442</v>
      </c>
      <c r="T65" s="581">
        <f t="shared" si="61"/>
        <v>2268.9120717148471</v>
      </c>
      <c r="U65" s="162">
        <f t="shared" si="62"/>
        <v>3341.6023499310641</v>
      </c>
      <c r="V65" s="162">
        <f t="shared" si="63"/>
        <v>4960.865217723861</v>
      </c>
      <c r="W65" s="162">
        <f t="shared" si="64"/>
        <v>3550.4665657873584</v>
      </c>
      <c r="X65" s="163">
        <f t="shared" si="65"/>
        <v>3716.3696069486732</v>
      </c>
      <c r="Y65" s="165">
        <f ca="1">IF(AND(Y$22=TRUE,INDEX(CDRANGE_CLS1,MATCH($A65,$A$24:$A$67,0),MATCH(Y$20,$B$20:$G$20,0))&lt;$D$6/OPDAYS_Cls1),86,payback(C65,T65,disc_rate/12,85))</f>
        <v>4</v>
      </c>
      <c r="Z65" s="166">
        <f ca="1">IF(AND(Z$22=TRUE,INDEX(CDRANGE_CLS1,MATCH($A65,$A$24:$A$67,0),MATCH(Z$20,$B$20:$G$20,0))&lt;$D$6/OPDAYS_Cls1),86,payback(D65,U65,disc_rate/12,85))</f>
        <v>4</v>
      </c>
      <c r="AA65" s="166">
        <f>IF(AND(AA$22=TRUE,INDEX(CDRANGE_CLS1,MATCH($A65,$A$24:$A$67,0),MATCH(AA$20,$B$20:$G$20,0))&lt;$D$6/OPDAYS_Cls1),86,payback(E65,V65,disc_rate/12,85))</f>
        <v>86</v>
      </c>
      <c r="AB65" s="166">
        <f ca="1">IF(AND(AB$22=TRUE,INDEX(CDRANGE_CLS1,MATCH($A65,$A$24:$A$67,0),MATCH(AB$20,$B$20:$G$20,0))&lt;$D$6/OPDAYS_Cls1),86,payback(F65,W65,disc_rate/12,85))</f>
        <v>9</v>
      </c>
      <c r="AC65" s="439">
        <f ca="1">IF(AND(AC$22=TRUE,INDEX(CDRANGE_CLS1,MATCH($A65,$A$24:$A$67,0),MATCH(AC$20,$B$20:$G$20,0))&lt;$D$6/OPDAYS_Cls1),86,payback(G65,X65,disc_rate/12,85))</f>
        <v>14</v>
      </c>
      <c r="AD65" s="168">
        <f t="shared" si="35"/>
        <v>0</v>
      </c>
      <c r="AE65" s="169">
        <f t="shared" si="36"/>
        <v>0</v>
      </c>
      <c r="AF65" s="169">
        <f t="shared" si="37"/>
        <v>0</v>
      </c>
      <c r="AG65" s="169">
        <f t="shared" si="38"/>
        <v>0</v>
      </c>
      <c r="AH65" s="170">
        <f t="shared" si="39"/>
        <v>0</v>
      </c>
      <c r="AI65" s="986">
        <f t="shared" si="40"/>
        <v>0.49999999719860178</v>
      </c>
      <c r="AJ65" s="987">
        <f t="shared" si="41"/>
        <v>0.49999999719860178</v>
      </c>
      <c r="AK65" s="987">
        <f t="shared" si="42"/>
        <v>0.49999999719860178</v>
      </c>
      <c r="AL65" s="987">
        <f t="shared" si="43"/>
        <v>0.49999999719860178</v>
      </c>
      <c r="AM65" s="995">
        <f t="shared" si="44"/>
        <v>0.49999999719860178</v>
      </c>
      <c r="AN65" s="171">
        <f t="shared" si="66"/>
        <v>0.99390985663171805</v>
      </c>
      <c r="AO65" s="172">
        <f t="shared" si="67"/>
        <v>0.9853484923504251</v>
      </c>
      <c r="AP65" s="172">
        <f t="shared" si="68"/>
        <v>0.71885060141002999</v>
      </c>
      <c r="AQ65" s="172">
        <f t="shared" si="69"/>
        <v>0.9114509412331665</v>
      </c>
      <c r="AR65" s="445">
        <f t="shared" si="70"/>
        <v>0.77941676526758974</v>
      </c>
      <c r="AS65" s="168">
        <f t="shared" ca="1" si="46"/>
        <v>0.99999999439720355</v>
      </c>
      <c r="AT65" s="169">
        <f t="shared" ca="1" si="47"/>
        <v>0.99999999439720355</v>
      </c>
      <c r="AU65" s="169">
        <f t="shared" si="48"/>
        <v>0</v>
      </c>
      <c r="AV65" s="169">
        <f t="shared" ca="1" si="49"/>
        <v>0.97659516623265696</v>
      </c>
      <c r="AW65" s="170">
        <f t="shared" ca="1" si="50"/>
        <v>0.87073764874880832</v>
      </c>
      <c r="AX65" s="168">
        <f t="shared" ca="1" si="51"/>
        <v>0.99390985106304341</v>
      </c>
      <c r="AY65" s="169">
        <f t="shared" ca="1" si="52"/>
        <v>0.9853484868297181</v>
      </c>
      <c r="AZ65" s="169">
        <f t="shared" si="53"/>
        <v>0</v>
      </c>
      <c r="BA65" s="169">
        <f t="shared" ca="1" si="71"/>
        <v>0.89011858346651584</v>
      </c>
      <c r="BB65" s="170">
        <f t="shared" ca="1" si="72"/>
        <v>0.67866752158450294</v>
      </c>
      <c r="BC65" s="168">
        <f t="shared" ca="1" si="73"/>
        <v>6.0901489369565853E-3</v>
      </c>
      <c r="BD65" s="169">
        <f t="shared" ca="1" si="56"/>
        <v>0.27842289123654418</v>
      </c>
      <c r="BE65" s="169">
        <f t="shared" ca="1" si="57"/>
        <v>0.27602460553666702</v>
      </c>
      <c r="BF65" s="169">
        <f t="shared" ca="1" si="58"/>
        <v>0</v>
      </c>
      <c r="BG65" s="169">
        <f t="shared" ca="1" si="59"/>
        <v>0.249347955739705</v>
      </c>
      <c r="BH65" s="170">
        <f t="shared" ca="1" si="60"/>
        <v>0.19011439855012727</v>
      </c>
    </row>
    <row r="66" spans="1:60" x14ac:dyDescent="0.2">
      <c r="A66" s="189">
        <v>2049</v>
      </c>
      <c r="B66" s="667">
        <f t="shared" si="78"/>
        <v>163848.29</v>
      </c>
      <c r="C66" s="668">
        <f t="shared" si="78"/>
        <v>7801.64</v>
      </c>
      <c r="D66" s="668">
        <f t="shared" si="78"/>
        <v>12010.44</v>
      </c>
      <c r="E66" s="668">
        <f t="shared" si="78"/>
        <v>51994.79</v>
      </c>
      <c r="F66" s="668">
        <f t="shared" si="78"/>
        <v>28501.87</v>
      </c>
      <c r="G66" s="669">
        <f t="shared" si="78"/>
        <v>47171.19</v>
      </c>
      <c r="H66" s="628">
        <f t="shared" si="79"/>
        <v>1</v>
      </c>
      <c r="I66" s="629">
        <f t="shared" si="79"/>
        <v>1</v>
      </c>
      <c r="J66" s="629">
        <f t="shared" si="79"/>
        <v>1</v>
      </c>
      <c r="K66" s="629">
        <f t="shared" si="79"/>
        <v>1</v>
      </c>
      <c r="L66" s="629">
        <f t="shared" si="79"/>
        <v>1</v>
      </c>
      <c r="M66" s="630">
        <f t="shared" si="79"/>
        <v>0.63448515404204509</v>
      </c>
      <c r="N66" s="147">
        <f t="shared" si="28"/>
        <v>8971.0858877097708</v>
      </c>
      <c r="O66" s="148">
        <f t="shared" si="29"/>
        <v>6658.4673016415945</v>
      </c>
      <c r="P66" s="148">
        <f t="shared" si="30"/>
        <v>5573.8573831944304</v>
      </c>
      <c r="Q66" s="148">
        <f t="shared" si="31"/>
        <v>3863.0044883928749</v>
      </c>
      <c r="R66" s="148">
        <f t="shared" si="32"/>
        <v>5177.2897661473107</v>
      </c>
      <c r="S66" s="150">
        <f t="shared" si="33"/>
        <v>5158.9883977395029</v>
      </c>
      <c r="T66" s="581">
        <f t="shared" si="61"/>
        <v>2312.6185860681762</v>
      </c>
      <c r="U66" s="162">
        <f t="shared" si="62"/>
        <v>3397.2285045153403</v>
      </c>
      <c r="V66" s="162">
        <f t="shared" si="63"/>
        <v>5108.0813993168958</v>
      </c>
      <c r="W66" s="162">
        <f t="shared" si="64"/>
        <v>3793.79612156246</v>
      </c>
      <c r="X66" s="163">
        <f t="shared" si="65"/>
        <v>3812.0974899702678</v>
      </c>
      <c r="Y66" s="165">
        <f ca="1">IF(AND(Y$22=TRUE,INDEX(CDRANGE_CLS1,MATCH($A66,$A$24:$A$67,0),MATCH(Y$20,$B$20:$G$20,0))&lt;$D$6/OPDAYS_Cls1),86,payback(C66,T66,disc_rate/12,85))</f>
        <v>4</v>
      </c>
      <c r="Z66" s="166">
        <f ca="1">IF(AND(Z$22=TRUE,INDEX(CDRANGE_CLS1,MATCH($A66,$A$24:$A$67,0),MATCH(Z$20,$B$20:$G$20,0))&lt;$D$6/OPDAYS_Cls1),86,payback(D66,U66,disc_rate/12,85))</f>
        <v>4</v>
      </c>
      <c r="AA66" s="166">
        <f>IF(AND(AA$22=TRUE,INDEX(CDRANGE_CLS1,MATCH($A66,$A$24:$A$67,0),MATCH(AA$20,$B$20:$G$20,0))&lt;$D$6/OPDAYS_Cls1),86,payback(E66,V66,disc_rate/12,85))</f>
        <v>86</v>
      </c>
      <c r="AB66" s="166">
        <f ca="1">IF(AND(AB$22=TRUE,INDEX(CDRANGE_CLS1,MATCH($A66,$A$24:$A$67,0),MATCH(AB$20,$B$20:$G$20,0))&lt;$D$6/OPDAYS_Cls1),86,payback(F66,W66,disc_rate/12,85))</f>
        <v>8</v>
      </c>
      <c r="AC66" s="439">
        <f ca="1">IF(AND(AC$22=TRUE,INDEX(CDRANGE_CLS1,MATCH($A66,$A$24:$A$67,0),MATCH(AC$20,$B$20:$G$20,0))&lt;$D$6/OPDAYS_Cls1),86,payback(G66,X66,disc_rate/12,85))</f>
        <v>13</v>
      </c>
      <c r="AD66" s="168">
        <f t="shared" si="35"/>
        <v>0</v>
      </c>
      <c r="AE66" s="169">
        <f t="shared" si="36"/>
        <v>0</v>
      </c>
      <c r="AF66" s="169">
        <f t="shared" si="37"/>
        <v>0</v>
      </c>
      <c r="AG66" s="169">
        <f t="shared" si="38"/>
        <v>0</v>
      </c>
      <c r="AH66" s="170">
        <f t="shared" si="39"/>
        <v>0</v>
      </c>
      <c r="AI66" s="986">
        <f t="shared" si="40"/>
        <v>0.49999999896942315</v>
      </c>
      <c r="AJ66" s="987">
        <f t="shared" si="41"/>
        <v>0.49999999896942315</v>
      </c>
      <c r="AK66" s="987">
        <f t="shared" si="42"/>
        <v>0.49999999896942315</v>
      </c>
      <c r="AL66" s="987">
        <f t="shared" si="43"/>
        <v>0.49999999896942315</v>
      </c>
      <c r="AM66" s="995">
        <f t="shared" si="44"/>
        <v>0.49999999896942315</v>
      </c>
      <c r="AN66" s="171">
        <f t="shared" si="66"/>
        <v>0.99372203827218186</v>
      </c>
      <c r="AO66" s="172">
        <f t="shared" si="67"/>
        <v>0.98518524446988576</v>
      </c>
      <c r="AP66" s="172">
        <f t="shared" si="68"/>
        <v>0.75599061371691179</v>
      </c>
      <c r="AQ66" s="172">
        <f t="shared" si="69"/>
        <v>0.91938125282764394</v>
      </c>
      <c r="AR66" s="445">
        <f t="shared" si="70"/>
        <v>0.79434859664056456</v>
      </c>
      <c r="AS66" s="168">
        <f t="shared" ca="1" si="46"/>
        <v>0.99999999793884631</v>
      </c>
      <c r="AT66" s="169">
        <f t="shared" ca="1" si="47"/>
        <v>0.99999999793884631</v>
      </c>
      <c r="AU66" s="169">
        <f t="shared" si="48"/>
        <v>0</v>
      </c>
      <c r="AV66" s="169">
        <f t="shared" ca="1" si="49"/>
        <v>0.98864995797605693</v>
      </c>
      <c r="AW66" s="170">
        <f t="shared" ca="1" si="50"/>
        <v>0.89687217240097028</v>
      </c>
      <c r="AX66" s="168">
        <f t="shared" ca="1" si="51"/>
        <v>0.99372203622396804</v>
      </c>
      <c r="AY66" s="169">
        <f t="shared" ca="1" si="52"/>
        <v>0.98518524243926753</v>
      </c>
      <c r="AZ66" s="169">
        <f t="shared" si="53"/>
        <v>0</v>
      </c>
      <c r="BA66" s="169">
        <f t="shared" ca="1" si="71"/>
        <v>0.9089462369720247</v>
      </c>
      <c r="BB66" s="170">
        <f t="shared" ca="1" si="72"/>
        <v>0.71242915151268527</v>
      </c>
      <c r="BC66" s="168">
        <f t="shared" ca="1" si="73"/>
        <v>6.2779637760319584E-3</v>
      </c>
      <c r="BD66" s="169">
        <f t="shared" ca="1" si="56"/>
        <v>0.27427943208119521</v>
      </c>
      <c r="BE66" s="169">
        <f t="shared" ca="1" si="57"/>
        <v>0.27192317261858001</v>
      </c>
      <c r="BF66" s="169">
        <f t="shared" ca="1" si="58"/>
        <v>0</v>
      </c>
      <c r="BG66" s="169">
        <f t="shared" ca="1" si="59"/>
        <v>0.25088027494726628</v>
      </c>
      <c r="BH66" s="170">
        <f t="shared" ca="1" si="60"/>
        <v>0.19663915657692649</v>
      </c>
    </row>
    <row r="67" spans="1:60" ht="13.5" thickBot="1" x14ac:dyDescent="0.25">
      <c r="A67" s="174">
        <v>2050</v>
      </c>
      <c r="B67" s="670">
        <f t="shared" si="78"/>
        <v>163848.29</v>
      </c>
      <c r="C67" s="671">
        <f t="shared" si="78"/>
        <v>7995.09</v>
      </c>
      <c r="D67" s="671">
        <f t="shared" si="78"/>
        <v>12120.09</v>
      </c>
      <c r="E67" s="671">
        <f t="shared" si="78"/>
        <v>44634.09</v>
      </c>
      <c r="F67" s="671">
        <f t="shared" si="78"/>
        <v>26152.09</v>
      </c>
      <c r="G67" s="672">
        <f t="shared" si="78"/>
        <v>44046.09</v>
      </c>
      <c r="H67" s="628">
        <f t="shared" si="79"/>
        <v>1</v>
      </c>
      <c r="I67" s="629">
        <f t="shared" si="79"/>
        <v>1</v>
      </c>
      <c r="J67" s="629">
        <f t="shared" si="79"/>
        <v>1</v>
      </c>
      <c r="K67" s="629">
        <f t="shared" si="79"/>
        <v>1</v>
      </c>
      <c r="L67" s="629">
        <f t="shared" si="79"/>
        <v>1</v>
      </c>
      <c r="M67" s="630">
        <f t="shared" si="79"/>
        <v>0.63021669503085587</v>
      </c>
      <c r="N67" s="625">
        <f t="shared" si="28"/>
        <v>9021.4194140308919</v>
      </c>
      <c r="O67" s="626">
        <f t="shared" si="29"/>
        <v>6647.2270851535186</v>
      </c>
      <c r="P67" s="626">
        <f t="shared" si="30"/>
        <v>5548.0845212780132</v>
      </c>
      <c r="Q67" s="626">
        <f t="shared" si="31"/>
        <v>3786.7724957525847</v>
      </c>
      <c r="R67" s="626">
        <f t="shared" si="32"/>
        <v>4968.8935994253898</v>
      </c>
      <c r="S67" s="627">
        <f t="shared" si="33"/>
        <v>5102.8111529211183</v>
      </c>
      <c r="T67" s="584">
        <f t="shared" si="61"/>
        <v>2374.1923288773733</v>
      </c>
      <c r="U67" s="176">
        <f t="shared" si="62"/>
        <v>3473.3348927528787</v>
      </c>
      <c r="V67" s="176">
        <f t="shared" si="63"/>
        <v>5234.6469182783076</v>
      </c>
      <c r="W67" s="176">
        <f t="shared" si="64"/>
        <v>4052.5258146055021</v>
      </c>
      <c r="X67" s="177">
        <f t="shared" si="65"/>
        <v>3918.6082611097736</v>
      </c>
      <c r="Y67" s="179">
        <f ca="1">IF(AND(Y$22=TRUE,INDEX(CDRANGE_CLS1,MATCH($A67,$A$24:$A$67,0),MATCH(Y$20,$B$20:$G$20,0))&lt;$D$6/OPDAYS_Cls1),86,payback(C67,T67,disc_rate/12,85))</f>
        <v>4</v>
      </c>
      <c r="Z67" s="180">
        <f ca="1">IF(AND(Z$22=TRUE,INDEX(CDRANGE_CLS1,MATCH($A67,$A$24:$A$67,0),MATCH(Z$20,$B$20:$G$20,0))&lt;$D$6/OPDAYS_Cls1),86,payback(D67,U67,disc_rate/12,85))</f>
        <v>4</v>
      </c>
      <c r="AA67" s="180">
        <f>IF(AND(AA$22=TRUE,INDEX(CDRANGE_CLS1,MATCH($A67,$A$24:$A$67,0),MATCH(AA$20,$B$20:$G$20,0))&lt;$D$6/OPDAYS_Cls1),86,payback(E67,V67,disc_rate/12,85))</f>
        <v>86</v>
      </c>
      <c r="AB67" s="180">
        <f ca="1">IF(AND(AB$22=TRUE,INDEX(CDRANGE_CLS1,MATCH($A67,$A$24:$A$67,0),MATCH(AB$20,$B$20:$G$20,0))&lt;$D$6/OPDAYS_Cls1),86,payback(F67,W67,disc_rate/12,85))</f>
        <v>7</v>
      </c>
      <c r="AC67" s="440">
        <f ca="1">IF(AND(AC$22=TRUE,INDEX(CDRANGE_CLS1,MATCH($A67,$A$24:$A$67,0),MATCH(AC$20,$B$20:$G$20,0))&lt;$D$6/OPDAYS_Cls1),86,payback(G67,X67,disc_rate/12,85))</f>
        <v>12</v>
      </c>
      <c r="AD67" s="182">
        <f t="shared" si="35"/>
        <v>0</v>
      </c>
      <c r="AE67" s="183">
        <f t="shared" si="36"/>
        <v>0</v>
      </c>
      <c r="AF67" s="183">
        <f t="shared" si="37"/>
        <v>0</v>
      </c>
      <c r="AG67" s="183">
        <f t="shared" si="38"/>
        <v>0</v>
      </c>
      <c r="AH67" s="184">
        <f t="shared" si="39"/>
        <v>0</v>
      </c>
      <c r="AI67" s="989">
        <f t="shared" si="40"/>
        <v>0.49999999962087194</v>
      </c>
      <c r="AJ67" s="990">
        <f t="shared" si="41"/>
        <v>0.49999999962087194</v>
      </c>
      <c r="AK67" s="990">
        <f t="shared" si="42"/>
        <v>0.49999999962087194</v>
      </c>
      <c r="AL67" s="990">
        <f t="shared" si="43"/>
        <v>0.49999999962087194</v>
      </c>
      <c r="AM67" s="996">
        <f t="shared" si="44"/>
        <v>0.49999999962087194</v>
      </c>
      <c r="AN67" s="185">
        <f t="shared" si="66"/>
        <v>0.99340788190567864</v>
      </c>
      <c r="AO67" s="186">
        <f t="shared" si="67"/>
        <v>0.98491556516463064</v>
      </c>
      <c r="AP67" s="186">
        <f t="shared" si="68"/>
        <v>0.81372502966213889</v>
      </c>
      <c r="AQ67" s="186">
        <f t="shared" si="69"/>
        <v>0.93167960205124423</v>
      </c>
      <c r="AR67" s="446">
        <f t="shared" si="70"/>
        <v>0.81812720509888548</v>
      </c>
      <c r="AS67" s="182">
        <f t="shared" ca="1" si="46"/>
        <v>0.99999999924174388</v>
      </c>
      <c r="AT67" s="183">
        <f t="shared" ca="1" si="47"/>
        <v>0.99999999924174388</v>
      </c>
      <c r="AU67" s="183">
        <f t="shared" si="48"/>
        <v>0</v>
      </c>
      <c r="AV67" s="183">
        <f t="shared" ca="1" si="49"/>
        <v>0.99672728465125515</v>
      </c>
      <c r="AW67" s="184">
        <f t="shared" ca="1" si="50"/>
        <v>0.92083975768087478</v>
      </c>
      <c r="AX67" s="182">
        <f t="shared" ca="1" si="51"/>
        <v>0.99340788115242107</v>
      </c>
      <c r="AY67" s="183">
        <f t="shared" ca="1" si="52"/>
        <v>0.98491556441781236</v>
      </c>
      <c r="AZ67" s="183">
        <f t="shared" si="53"/>
        <v>0</v>
      </c>
      <c r="BA67" s="183">
        <f t="shared" ca="1" si="71"/>
        <v>0.92863047991749859</v>
      </c>
      <c r="BB67" s="184">
        <f t="shared" ca="1" si="72"/>
        <v>0.75336405729538902</v>
      </c>
      <c r="BC67" s="182">
        <f t="shared" ca="1" si="73"/>
        <v>6.5921188475789316E-3</v>
      </c>
      <c r="BD67" s="183">
        <f t="shared" ca="1" si="56"/>
        <v>0.26961024232801351</v>
      </c>
      <c r="BE67" s="183">
        <f t="shared" ca="1" si="57"/>
        <v>0.267305433179441</v>
      </c>
      <c r="BF67" s="183">
        <f t="shared" ca="1" si="58"/>
        <v>0</v>
      </c>
      <c r="BG67" s="183">
        <f t="shared" ca="1" si="59"/>
        <v>0.25202969844903172</v>
      </c>
      <c r="BH67" s="184">
        <f t="shared" ca="1" si="60"/>
        <v>0.20446250719593481</v>
      </c>
    </row>
    <row r="68" spans="1:60" x14ac:dyDescent="0.2">
      <c r="A68" s="99" t="str">
        <f>"Output generated: "&amp; TEXT(MAX($P$4,$P$5),"m/dd/yyyy hh:mm")</f>
        <v>Output generated: 11/04/2020 14:47</v>
      </c>
      <c r="B68" s="655"/>
      <c r="C68" s="655"/>
      <c r="D68" s="655"/>
      <c r="E68" s="655"/>
      <c r="F68" s="655"/>
      <c r="G68" s="615"/>
      <c r="W68" s="99" t="str">
        <f>IF(K68=0,"",$N68-R68+W$22)</f>
        <v/>
      </c>
      <c r="X68" s="99" t="str">
        <f>IF(M68=0,"",$N68-S68+X$22)</f>
        <v/>
      </c>
      <c r="Y68" s="106"/>
      <c r="Z68" s="106"/>
      <c r="AA68" s="106"/>
      <c r="AB68" s="106"/>
      <c r="AC68" s="106"/>
      <c r="AD68" s="194"/>
      <c r="AE68" s="106"/>
      <c r="AF68" s="106"/>
      <c r="AG68" s="106"/>
      <c r="AH68" s="106"/>
    </row>
    <row r="69" spans="1:60" ht="13.5" thickBot="1" x14ac:dyDescent="0.25">
      <c r="W69" s="99" t="str">
        <f>IF(K69=0,"",$N69-R69+W$22)</f>
        <v/>
      </c>
      <c r="X69" s="99" t="str">
        <f>IF(M69=0,"",$N69-S69+X$22)</f>
        <v/>
      </c>
    </row>
    <row r="70" spans="1:60" s="29" customFormat="1" ht="15" x14ac:dyDescent="0.25">
      <c r="A70" s="205"/>
      <c r="B70" s="1539" t="s">
        <v>187</v>
      </c>
      <c r="C70" s="1540"/>
      <c r="D70" s="1540"/>
      <c r="E70" s="1540"/>
      <c r="F70" s="1540"/>
      <c r="G70" s="1540"/>
      <c r="H70" s="1540"/>
      <c r="I70" s="1540"/>
      <c r="J70" s="1540"/>
      <c r="K70" s="1540"/>
      <c r="L70" s="1540"/>
      <c r="M70" s="1540"/>
      <c r="N70" s="1541"/>
      <c r="O70" s="1539" t="s">
        <v>188</v>
      </c>
      <c r="P70" s="1540"/>
      <c r="Q70" s="1540"/>
      <c r="R70" s="1540"/>
      <c r="S70" s="1540"/>
      <c r="T70" s="1540"/>
      <c r="U70" s="1540"/>
      <c r="V70" s="1540"/>
      <c r="W70" s="1540"/>
      <c r="X70" s="1540"/>
      <c r="Y70" s="1540"/>
      <c r="Z70" s="1540"/>
      <c r="AA70" s="1541"/>
    </row>
    <row r="71" spans="1:60" x14ac:dyDescent="0.2">
      <c r="A71" s="196"/>
      <c r="B71" s="1536" t="s">
        <v>121</v>
      </c>
      <c r="C71" s="1537"/>
      <c r="D71" s="1537"/>
      <c r="E71" s="1537"/>
      <c r="F71" s="1537"/>
      <c r="G71" s="1537"/>
      <c r="H71" s="1537"/>
      <c r="I71" s="1537"/>
      <c r="J71" s="1537"/>
      <c r="K71" s="1537"/>
      <c r="L71" s="1538"/>
      <c r="M71" s="254"/>
      <c r="N71" s="197"/>
      <c r="O71" s="1536" t="s">
        <v>121</v>
      </c>
      <c r="P71" s="1537"/>
      <c r="Q71" s="1537"/>
      <c r="R71" s="1537"/>
      <c r="S71" s="1537"/>
      <c r="T71" s="1537"/>
      <c r="U71" s="1537"/>
      <c r="V71" s="1537"/>
      <c r="W71" s="1537"/>
      <c r="X71" s="1537"/>
      <c r="Y71" s="1538"/>
      <c r="Z71" s="254"/>
      <c r="AA71" s="197"/>
      <c r="AI71" s="99"/>
      <c r="AJ71" s="99"/>
      <c r="AK71" s="99"/>
      <c r="AL71" s="99"/>
      <c r="AM71" s="99"/>
    </row>
    <row r="72" spans="1:60" s="100" customFormat="1" ht="13.5" thickBot="1" x14ac:dyDescent="0.25">
      <c r="A72" s="203"/>
      <c r="B72" s="210" t="s">
        <v>28</v>
      </c>
      <c r="C72" s="211" t="s">
        <v>29</v>
      </c>
      <c r="D72" s="211" t="s">
        <v>30</v>
      </c>
      <c r="E72" s="211" t="s">
        <v>31</v>
      </c>
      <c r="F72" s="211" t="s">
        <v>32</v>
      </c>
      <c r="G72" s="211" t="s">
        <v>33</v>
      </c>
      <c r="H72" s="211" t="s">
        <v>34</v>
      </c>
      <c r="I72" s="211" t="s">
        <v>35</v>
      </c>
      <c r="J72" s="211" t="s">
        <v>36</v>
      </c>
      <c r="K72" s="211" t="s">
        <v>37</v>
      </c>
      <c r="L72" s="249" t="s">
        <v>38</v>
      </c>
      <c r="M72" s="255" t="s">
        <v>122</v>
      </c>
      <c r="N72" s="204" t="s">
        <v>123</v>
      </c>
      <c r="O72" s="210" t="s">
        <v>28</v>
      </c>
      <c r="P72" s="211" t="s">
        <v>29</v>
      </c>
      <c r="Q72" s="211" t="s">
        <v>30</v>
      </c>
      <c r="R72" s="211" t="s">
        <v>31</v>
      </c>
      <c r="S72" s="211" t="s">
        <v>32</v>
      </c>
      <c r="T72" s="211" t="s">
        <v>33</v>
      </c>
      <c r="U72" s="211" t="s">
        <v>34</v>
      </c>
      <c r="V72" s="211" t="s">
        <v>35</v>
      </c>
      <c r="W72" s="211" t="s">
        <v>36</v>
      </c>
      <c r="X72" s="211" t="s">
        <v>37</v>
      </c>
      <c r="Y72" s="249" t="s">
        <v>38</v>
      </c>
      <c r="Z72" s="255" t="s">
        <v>122</v>
      </c>
      <c r="AA72" s="204" t="s">
        <v>123</v>
      </c>
      <c r="AB72" s="99"/>
      <c r="AC72" s="750" t="s">
        <v>267</v>
      </c>
      <c r="AD72" s="106" t="b">
        <f>INDEX(TECH_OPT_FUEL2_Cls1,MATCH(RIGHT(O70),TECH_OPT_ROWS_Cls1,0))&lt;&gt;"N/A"</f>
        <v>0</v>
      </c>
    </row>
    <row r="73" spans="1:60" s="100" customFormat="1" ht="14.25" thickTop="1" thickBot="1" x14ac:dyDescent="0.25">
      <c r="A73" s="207" t="s">
        <v>124</v>
      </c>
      <c r="B73" s="212">
        <f t="array" ref="B73:L73">TRANSPOSE(Cls1CentTruckShr)</f>
        <v>7.9460669190030697E-3</v>
      </c>
      <c r="C73" s="213">
        <v>4.9615201402207001E-3</v>
      </c>
      <c r="D73" s="213">
        <v>9.2815995818941767E-3</v>
      </c>
      <c r="E73" s="213">
        <v>3.0833513121077051E-2</v>
      </c>
      <c r="F73" s="213">
        <v>4.3269302277925595E-2</v>
      </c>
      <c r="G73" s="213">
        <v>2.8144935330937017E-2</v>
      </c>
      <c r="H73" s="213">
        <v>6.8990329765143715E-2</v>
      </c>
      <c r="I73" s="213">
        <v>2.4926184998997059E-2</v>
      </c>
      <c r="J73" s="213">
        <v>7.8890239376675012E-3</v>
      </c>
      <c r="K73" s="213">
        <v>3.6046105934191604E-3</v>
      </c>
      <c r="L73" s="250">
        <v>7.5162351043371062E-3</v>
      </c>
      <c r="M73" s="256"/>
      <c r="N73" s="208"/>
      <c r="O73" s="212">
        <f t="array" ref="O73:Y73">TRANSPOSE(Cls1NCentTruckShr)</f>
        <v>1.2963682068270432E-2</v>
      </c>
      <c r="P73" s="213">
        <v>2.3837141813212878E-2</v>
      </c>
      <c r="Q73" s="213">
        <v>2.5768680683356839E-2</v>
      </c>
      <c r="R73" s="213">
        <v>5.7965433078982248E-2</v>
      </c>
      <c r="S73" s="213">
        <v>0.10312619102844889</v>
      </c>
      <c r="T73" s="213">
        <v>0.18550667796975542</v>
      </c>
      <c r="U73" s="213">
        <v>0.21310728355070049</v>
      </c>
      <c r="V73" s="213">
        <v>7.3364250696428643E-2</v>
      </c>
      <c r="W73" s="213">
        <v>1.9856733825595378E-2</v>
      </c>
      <c r="X73" s="213">
        <v>2.1261216059795113E-2</v>
      </c>
      <c r="Y73" s="250">
        <v>2.5879387454831333E-2</v>
      </c>
      <c r="Z73" s="256"/>
      <c r="AA73" s="208"/>
      <c r="AB73" s="783"/>
      <c r="AC73" s="750" t="s">
        <v>268</v>
      </c>
      <c r="AD73" s="106">
        <f>MATCH(RIGHT(O70),TECH_OPT_ROWS_Cls1,0)</f>
        <v>2</v>
      </c>
      <c r="AH73"/>
      <c r="AI73"/>
      <c r="AJ73"/>
      <c r="AK73"/>
      <c r="AL73"/>
      <c r="AM73"/>
      <c r="AN73"/>
      <c r="AO73"/>
      <c r="AP73"/>
      <c r="AQ73"/>
      <c r="AR73"/>
      <c r="AS73"/>
      <c r="AT73"/>
      <c r="AU73"/>
    </row>
    <row r="74" spans="1:60" s="100" customFormat="1" x14ac:dyDescent="0.2">
      <c r="A74" s="203" t="s">
        <v>125</v>
      </c>
      <c r="B74" s="785">
        <f t="array" ref="B74:L74">TRANSPOSE(Cls1CentVMTShr)</f>
        <v>8.9762242961142352E-4</v>
      </c>
      <c r="C74" s="786">
        <v>1.2044238150123706E-3</v>
      </c>
      <c r="D74" s="786">
        <v>4.1499109643594731E-3</v>
      </c>
      <c r="E74" s="786">
        <v>1.9575808105519295E-2</v>
      </c>
      <c r="F74" s="786">
        <v>3.4523467949689302E-2</v>
      </c>
      <c r="G74" s="786">
        <v>2.7311948935134379E-2</v>
      </c>
      <c r="H74" s="786">
        <v>7.6478458482655817E-2</v>
      </c>
      <c r="I74" s="786">
        <v>3.2480526319280681E-2</v>
      </c>
      <c r="J74" s="786">
        <v>1.1772940427842455E-2</v>
      </c>
      <c r="K74" s="786">
        <v>6.0339283082965706E-3</v>
      </c>
      <c r="L74" s="787">
        <v>1.5952440951210019E-2</v>
      </c>
      <c r="M74" s="260"/>
      <c r="N74" s="206"/>
      <c r="O74" s="785">
        <f t="array" ref="O74:Y74">TRANSPOSE(Cls1NCentVMTShr)</f>
        <v>1.3589913425833078E-3</v>
      </c>
      <c r="P74" s="786">
        <v>5.8692629772239642E-3</v>
      </c>
      <c r="Q74" s="786">
        <v>1.2100393581509007E-2</v>
      </c>
      <c r="R74" s="786">
        <v>3.6555003327388577E-2</v>
      </c>
      <c r="S74" s="786">
        <v>8.3148735051829181E-2</v>
      </c>
      <c r="T74" s="786">
        <v>0.18151138394047112</v>
      </c>
      <c r="U74" s="786">
        <v>0.2383386372324876</v>
      </c>
      <c r="V74" s="786">
        <v>9.5602564448196578E-2</v>
      </c>
      <c r="W74" s="786">
        <v>2.9193025028929166E-2</v>
      </c>
      <c r="X74" s="786">
        <v>3.5209492159336005E-2</v>
      </c>
      <c r="Y74" s="787">
        <v>5.0731034221433824E-2</v>
      </c>
      <c r="Z74" s="258"/>
      <c r="AA74" s="206"/>
      <c r="AB74" s="1552" t="str">
        <f>"% of miles on f2 for Tech "&amp; RIGHT(O70)&amp;" adopters"</f>
        <v>% of miles on f2 for Tech A adopters</v>
      </c>
      <c r="AC74" s="1553"/>
      <c r="AD74" s="1554"/>
      <c r="AE74" s="1016" t="s">
        <v>295</v>
      </c>
      <c r="AF74" s="1016"/>
      <c r="AG74" s="1016"/>
      <c r="AH74" s="1017" t="s">
        <v>304</v>
      </c>
      <c r="AI74" s="1018"/>
      <c r="AJ74" s="1013"/>
      <c r="AK74"/>
      <c r="AL74"/>
      <c r="AM74"/>
      <c r="AN74"/>
      <c r="AO74"/>
      <c r="AP74"/>
      <c r="AQ74"/>
      <c r="AR74"/>
      <c r="AS74"/>
      <c r="AT74"/>
      <c r="AU74"/>
    </row>
    <row r="75" spans="1:60" ht="13.5" thickBot="1" x14ac:dyDescent="0.25">
      <c r="A75" s="789" t="s">
        <v>266</v>
      </c>
      <c r="B75" s="780">
        <f t="array" ref="B75:L75">TRANSPOSE(Cls1CentVMT/OPDAYS_Cls1)</f>
        <v>51.642967609234425</v>
      </c>
      <c r="C75" s="781">
        <v>110.97733417848234</v>
      </c>
      <c r="D75" s="781">
        <v>204.40224583551472</v>
      </c>
      <c r="E75" s="781">
        <v>290.24610572847212</v>
      </c>
      <c r="F75" s="781">
        <v>364.75750419264841</v>
      </c>
      <c r="G75" s="781">
        <v>443.63126889109378</v>
      </c>
      <c r="H75" s="781">
        <v>506.78134229373978</v>
      </c>
      <c r="I75" s="781">
        <v>595.71283413609137</v>
      </c>
      <c r="J75" s="781">
        <v>682.23089916089702</v>
      </c>
      <c r="K75" s="781">
        <v>765.26438827532684</v>
      </c>
      <c r="L75" s="782">
        <v>970.27871027310334</v>
      </c>
      <c r="M75" s="778"/>
      <c r="N75" s="779"/>
      <c r="O75" s="780">
        <f t="array" ref="O75:Y75">TRANSPOSE(Cls1NCentVMT/OPDAYS_Cls1)</f>
        <v>47.924548633512046</v>
      </c>
      <c r="P75" s="781">
        <v>112.56389213862748</v>
      </c>
      <c r="Q75" s="781">
        <v>214.67280220238027</v>
      </c>
      <c r="R75" s="781">
        <v>288.30186744262801</v>
      </c>
      <c r="S75" s="781">
        <v>368.60089210549245</v>
      </c>
      <c r="T75" s="781">
        <v>447.31558789932524</v>
      </c>
      <c r="U75" s="781">
        <v>511.28831950097862</v>
      </c>
      <c r="V75" s="781">
        <v>595.73726658362273</v>
      </c>
      <c r="W75" s="781">
        <v>672.11099195240695</v>
      </c>
      <c r="X75" s="781">
        <v>757.0793017898726</v>
      </c>
      <c r="Y75" s="782">
        <v>896.16800791754974</v>
      </c>
      <c r="Z75" s="790"/>
      <c r="AA75" s="779"/>
      <c r="AB75" s="792" t="s">
        <v>186</v>
      </c>
      <c r="AC75" s="793" t="s">
        <v>15</v>
      </c>
      <c r="AD75" s="794" t="s">
        <v>18</v>
      </c>
      <c r="AE75" s="784" t="s">
        <v>186</v>
      </c>
      <c r="AF75" s="784" t="s">
        <v>15</v>
      </c>
      <c r="AG75" s="784" t="s">
        <v>18</v>
      </c>
      <c r="AH75" s="1015" t="s">
        <v>186</v>
      </c>
      <c r="AI75" s="784" t="s">
        <v>15</v>
      </c>
      <c r="AJ75"/>
      <c r="AK75"/>
      <c r="AL75"/>
      <c r="AM75"/>
      <c r="AN75"/>
      <c r="AO75"/>
      <c r="AP75"/>
      <c r="AQ75"/>
      <c r="AR75"/>
      <c r="AS75"/>
      <c r="AT75"/>
      <c r="AU75"/>
    </row>
    <row r="76" spans="1:60" ht="13.5" thickTop="1" x14ac:dyDescent="0.2">
      <c r="A76" s="788">
        <v>2007</v>
      </c>
      <c r="B76" s="214">
        <v>0</v>
      </c>
      <c r="C76" s="215">
        <v>0</v>
      </c>
      <c r="D76" s="215">
        <v>0</v>
      </c>
      <c r="E76" s="215">
        <v>0</v>
      </c>
      <c r="F76" s="215">
        <v>0</v>
      </c>
      <c r="G76" s="215">
        <v>0</v>
      </c>
      <c r="H76" s="215">
        <v>0</v>
      </c>
      <c r="I76" s="215">
        <v>0</v>
      </c>
      <c r="J76" s="215">
        <v>0</v>
      </c>
      <c r="K76" s="215">
        <v>0</v>
      </c>
      <c r="L76" s="251">
        <v>0</v>
      </c>
      <c r="M76" s="154">
        <f t="shared" ref="M76:M119" si="80">SUMPRODUCT($B$74:$L$74,$B76:$L76)</f>
        <v>0</v>
      </c>
      <c r="N76" s="156">
        <f t="shared" ref="N76:N119" si="81">SUMPRODUCT($B$73:$L$73,$B76:$L76)</f>
        <v>0</v>
      </c>
      <c r="O76" s="214">
        <v>0</v>
      </c>
      <c r="P76" s="215">
        <v>0</v>
      </c>
      <c r="Q76" s="215">
        <v>0</v>
      </c>
      <c r="R76" s="215">
        <v>0</v>
      </c>
      <c r="S76" s="215">
        <v>0</v>
      </c>
      <c r="T76" s="215">
        <v>0</v>
      </c>
      <c r="U76" s="215">
        <v>0</v>
      </c>
      <c r="V76" s="215">
        <v>0</v>
      </c>
      <c r="W76" s="215">
        <v>0</v>
      </c>
      <c r="X76" s="215">
        <v>0</v>
      </c>
      <c r="Y76" s="251">
        <v>0</v>
      </c>
      <c r="Z76" s="154">
        <f t="shared" ref="Z76:Z119" si="82">SUMPRODUCT($O$74:$Y$74,$O76:$Y76)</f>
        <v>0</v>
      </c>
      <c r="AA76" s="156">
        <f t="shared" ref="AA76:AA119" si="83">SUMPRODUCT($O$73:$Y$73,$O76:$Y76)</f>
        <v>0</v>
      </c>
      <c r="AB76" s="795">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796">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069">
        <f t="shared" ref="AD76:AD101" si="84">AB76*AH76+AC76*AI76</f>
        <v>0</v>
      </c>
      <c r="AE76" s="784">
        <f t="shared" ref="AE76:AE90" si="85">SUMPRODUCT($B$74:$L$74,B76:L76)</f>
        <v>0</v>
      </c>
      <c r="AF76" s="784">
        <f t="shared" ref="AF76:AF90" si="86">SUMPRODUCT($O$74:$Y$74,O76:Y76)</f>
        <v>0</v>
      </c>
      <c r="AG76" s="784">
        <f t="shared" ref="AG76:AG90" si="87">SUM(AE76:AF76)</f>
        <v>0</v>
      </c>
      <c r="AH76" s="1015">
        <f>IF(AG76&gt;0,AE76/AG76,0)</f>
        <v>0</v>
      </c>
      <c r="AI76" s="784">
        <f>IF(AG76&gt;0,AF76/AG76,0)</f>
        <v>0</v>
      </c>
      <c r="AJ76"/>
      <c r="AK76"/>
      <c r="AL76"/>
      <c r="AM76" s="1014"/>
      <c r="AN76"/>
      <c r="AO76"/>
      <c r="AP76"/>
      <c r="AQ76"/>
      <c r="AR76"/>
      <c r="AS76"/>
      <c r="AT76"/>
      <c r="AU76"/>
    </row>
    <row r="77" spans="1:60" x14ac:dyDescent="0.2">
      <c r="A77" s="199">
        <v>2008</v>
      </c>
      <c r="B77" s="216">
        <v>0</v>
      </c>
      <c r="C77" s="217">
        <v>0</v>
      </c>
      <c r="D77" s="217">
        <v>0</v>
      </c>
      <c r="E77" s="217">
        <v>0</v>
      </c>
      <c r="F77" s="217">
        <v>0</v>
      </c>
      <c r="G77" s="217">
        <v>0</v>
      </c>
      <c r="H77" s="217">
        <v>0</v>
      </c>
      <c r="I77" s="217">
        <v>0</v>
      </c>
      <c r="J77" s="217">
        <v>0</v>
      </c>
      <c r="K77" s="217">
        <v>0</v>
      </c>
      <c r="L77" s="252">
        <v>0</v>
      </c>
      <c r="M77" s="168">
        <f t="shared" si="80"/>
        <v>0</v>
      </c>
      <c r="N77" s="170">
        <f t="shared" si="81"/>
        <v>0</v>
      </c>
      <c r="O77" s="216">
        <v>0</v>
      </c>
      <c r="P77" s="217">
        <v>0</v>
      </c>
      <c r="Q77" s="217">
        <v>0</v>
      </c>
      <c r="R77" s="217">
        <v>0</v>
      </c>
      <c r="S77" s="217">
        <v>0</v>
      </c>
      <c r="T77" s="217">
        <v>0</v>
      </c>
      <c r="U77" s="217">
        <v>0</v>
      </c>
      <c r="V77" s="217">
        <v>0</v>
      </c>
      <c r="W77" s="217">
        <v>0</v>
      </c>
      <c r="X77" s="217">
        <v>0</v>
      </c>
      <c r="Y77" s="252">
        <v>0</v>
      </c>
      <c r="Z77" s="168">
        <f t="shared" si="82"/>
        <v>0</v>
      </c>
      <c r="AA77" s="170">
        <f t="shared" si="83"/>
        <v>0</v>
      </c>
      <c r="AB77" s="795">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796">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069">
        <f t="shared" si="84"/>
        <v>0</v>
      </c>
      <c r="AE77" s="784">
        <f t="shared" si="85"/>
        <v>0</v>
      </c>
      <c r="AF77" s="784">
        <f t="shared" si="86"/>
        <v>0</v>
      </c>
      <c r="AG77" s="784">
        <f t="shared" si="87"/>
        <v>0</v>
      </c>
      <c r="AH77" s="1015">
        <f t="shared" ref="AH77:AH119" si="88">IF(AG77&gt;0,AE77/AG77,0)</f>
        <v>0</v>
      </c>
      <c r="AI77" s="784">
        <f t="shared" ref="AI77:AI119" si="89">IF(AG77&gt;0,AF77/AG77,0)</f>
        <v>0</v>
      </c>
      <c r="AJ77"/>
      <c r="AK77"/>
      <c r="AL77"/>
      <c r="AM77" s="1014"/>
      <c r="AN77"/>
      <c r="AO77"/>
      <c r="AP77"/>
      <c r="AQ77"/>
      <c r="AR77"/>
      <c r="AS77"/>
      <c r="AT77"/>
      <c r="AU77"/>
    </row>
    <row r="78" spans="1:60" x14ac:dyDescent="0.2">
      <c r="A78" s="199">
        <v>2009</v>
      </c>
      <c r="B78" s="216">
        <v>0</v>
      </c>
      <c r="C78" s="217">
        <v>0</v>
      </c>
      <c r="D78" s="217">
        <v>0</v>
      </c>
      <c r="E78" s="217">
        <v>0</v>
      </c>
      <c r="F78" s="217">
        <v>0</v>
      </c>
      <c r="G78" s="217">
        <v>0</v>
      </c>
      <c r="H78" s="217">
        <v>0</v>
      </c>
      <c r="I78" s="217">
        <v>0</v>
      </c>
      <c r="J78" s="217">
        <v>0</v>
      </c>
      <c r="K78" s="217">
        <v>0</v>
      </c>
      <c r="L78" s="252">
        <v>0</v>
      </c>
      <c r="M78" s="168">
        <f t="shared" si="80"/>
        <v>0</v>
      </c>
      <c r="N78" s="170">
        <f t="shared" si="81"/>
        <v>0</v>
      </c>
      <c r="O78" s="216">
        <v>0</v>
      </c>
      <c r="P78" s="217">
        <v>0</v>
      </c>
      <c r="Q78" s="217">
        <v>0</v>
      </c>
      <c r="R78" s="217">
        <v>0</v>
      </c>
      <c r="S78" s="217">
        <v>0</v>
      </c>
      <c r="T78" s="217">
        <v>0</v>
      </c>
      <c r="U78" s="217">
        <v>0</v>
      </c>
      <c r="V78" s="217">
        <v>0</v>
      </c>
      <c r="W78" s="217">
        <v>0</v>
      </c>
      <c r="X78" s="217">
        <v>0</v>
      </c>
      <c r="Y78" s="252">
        <v>0</v>
      </c>
      <c r="Z78" s="168">
        <f t="shared" si="82"/>
        <v>0</v>
      </c>
      <c r="AA78" s="170">
        <f t="shared" si="83"/>
        <v>0</v>
      </c>
      <c r="AB78" s="795">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796">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069">
        <f t="shared" si="84"/>
        <v>0</v>
      </c>
      <c r="AE78" s="784">
        <f t="shared" si="85"/>
        <v>0</v>
      </c>
      <c r="AF78" s="784">
        <f t="shared" si="86"/>
        <v>0</v>
      </c>
      <c r="AG78" s="784">
        <f t="shared" si="87"/>
        <v>0</v>
      </c>
      <c r="AH78" s="1015">
        <f t="shared" si="88"/>
        <v>0</v>
      </c>
      <c r="AI78" s="784">
        <f t="shared" si="89"/>
        <v>0</v>
      </c>
      <c r="AJ78"/>
      <c r="AK78"/>
      <c r="AL78"/>
      <c r="AM78" s="1014"/>
      <c r="AN78"/>
      <c r="AO78"/>
      <c r="AP78"/>
      <c r="AQ78"/>
      <c r="AR78"/>
      <c r="AS78"/>
      <c r="AT78"/>
      <c r="AU78"/>
    </row>
    <row r="79" spans="1:60" ht="13.5" thickBot="1" x14ac:dyDescent="0.25">
      <c r="A79" s="200">
        <v>2010</v>
      </c>
      <c r="B79" s="218">
        <v>0</v>
      </c>
      <c r="C79" s="219">
        <v>0</v>
      </c>
      <c r="D79" s="219">
        <v>0</v>
      </c>
      <c r="E79" s="219">
        <v>0</v>
      </c>
      <c r="F79" s="219">
        <v>0</v>
      </c>
      <c r="G79" s="219">
        <v>0</v>
      </c>
      <c r="H79" s="219">
        <v>0</v>
      </c>
      <c r="I79" s="219">
        <v>0</v>
      </c>
      <c r="J79" s="219">
        <v>0</v>
      </c>
      <c r="K79" s="219">
        <v>0</v>
      </c>
      <c r="L79" s="253">
        <v>0</v>
      </c>
      <c r="M79" s="182">
        <f t="shared" si="80"/>
        <v>0</v>
      </c>
      <c r="N79" s="184">
        <f t="shared" si="81"/>
        <v>0</v>
      </c>
      <c r="O79" s="218">
        <v>0</v>
      </c>
      <c r="P79" s="219">
        <v>0</v>
      </c>
      <c r="Q79" s="219">
        <v>0</v>
      </c>
      <c r="R79" s="219">
        <v>0</v>
      </c>
      <c r="S79" s="219">
        <v>0</v>
      </c>
      <c r="T79" s="219">
        <v>0</v>
      </c>
      <c r="U79" s="219">
        <v>0</v>
      </c>
      <c r="V79" s="219">
        <v>0</v>
      </c>
      <c r="W79" s="219">
        <v>0</v>
      </c>
      <c r="X79" s="219">
        <v>0</v>
      </c>
      <c r="Y79" s="253">
        <v>0</v>
      </c>
      <c r="Z79" s="182">
        <f t="shared" si="82"/>
        <v>0</v>
      </c>
      <c r="AA79" s="184">
        <f t="shared" si="83"/>
        <v>0</v>
      </c>
      <c r="AB79" s="795">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796">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069">
        <f t="shared" si="84"/>
        <v>0</v>
      </c>
      <c r="AE79" s="784">
        <f t="shared" si="85"/>
        <v>0</v>
      </c>
      <c r="AF79" s="784">
        <f t="shared" si="86"/>
        <v>0</v>
      </c>
      <c r="AG79" s="784">
        <f t="shared" si="87"/>
        <v>0</v>
      </c>
      <c r="AH79" s="1015">
        <f t="shared" si="88"/>
        <v>0</v>
      </c>
      <c r="AI79" s="784">
        <f t="shared" si="89"/>
        <v>0</v>
      </c>
      <c r="AJ79" s="1012"/>
      <c r="AK79" s="1012"/>
      <c r="AL79" s="1012"/>
      <c r="AM79" s="1014"/>
      <c r="AN79" s="1012"/>
      <c r="AO79" s="1012"/>
      <c r="AP79" s="1012"/>
      <c r="AQ79" s="1012"/>
      <c r="AR79" s="1012"/>
      <c r="AS79" s="1012"/>
    </row>
    <row r="80" spans="1:60" x14ac:dyDescent="0.2">
      <c r="A80" s="201">
        <v>2011</v>
      </c>
      <c r="B80" s="214">
        <v>0</v>
      </c>
      <c r="C80" s="215">
        <v>0</v>
      </c>
      <c r="D80" s="215">
        <v>0</v>
      </c>
      <c r="E80" s="215">
        <v>0</v>
      </c>
      <c r="F80" s="215">
        <v>0</v>
      </c>
      <c r="G80" s="215">
        <v>0</v>
      </c>
      <c r="H80" s="215">
        <v>0</v>
      </c>
      <c r="I80" s="215">
        <v>0</v>
      </c>
      <c r="J80" s="215">
        <v>0</v>
      </c>
      <c r="K80" s="215">
        <v>0</v>
      </c>
      <c r="L80" s="251">
        <v>0</v>
      </c>
      <c r="M80" s="154">
        <f t="shared" si="80"/>
        <v>0</v>
      </c>
      <c r="N80" s="156">
        <f t="shared" si="81"/>
        <v>0</v>
      </c>
      <c r="O80" s="214">
        <v>0</v>
      </c>
      <c r="P80" s="215">
        <v>0</v>
      </c>
      <c r="Q80" s="215">
        <v>0</v>
      </c>
      <c r="R80" s="215">
        <v>0</v>
      </c>
      <c r="S80" s="215">
        <v>0</v>
      </c>
      <c r="T80" s="215">
        <v>0</v>
      </c>
      <c r="U80" s="215">
        <v>0</v>
      </c>
      <c r="V80" s="215">
        <v>0</v>
      </c>
      <c r="W80" s="215">
        <v>0</v>
      </c>
      <c r="X80" s="215">
        <v>0</v>
      </c>
      <c r="Y80" s="251">
        <v>0</v>
      </c>
      <c r="Z80" s="154">
        <f t="shared" si="82"/>
        <v>0</v>
      </c>
      <c r="AA80" s="156">
        <f t="shared" si="83"/>
        <v>0</v>
      </c>
      <c r="AB80" s="795">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796">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069">
        <f t="shared" si="84"/>
        <v>0</v>
      </c>
      <c r="AE80" s="784">
        <f t="shared" si="85"/>
        <v>0</v>
      </c>
      <c r="AF80" s="784">
        <f t="shared" si="86"/>
        <v>0</v>
      </c>
      <c r="AG80" s="784">
        <f t="shared" si="87"/>
        <v>0</v>
      </c>
      <c r="AH80" s="1015">
        <f t="shared" si="88"/>
        <v>0</v>
      </c>
      <c r="AI80" s="784">
        <f t="shared" si="89"/>
        <v>0</v>
      </c>
      <c r="AJ80" s="1012"/>
      <c r="AK80" s="1012"/>
      <c r="AL80" s="1012"/>
      <c r="AM80" s="1014"/>
      <c r="AN80" s="1012"/>
      <c r="AO80" s="1012"/>
      <c r="AP80" s="1012"/>
      <c r="AQ80" s="1012"/>
      <c r="AR80" s="1012"/>
      <c r="AS80" s="1012"/>
    </row>
    <row r="81" spans="1:45" x14ac:dyDescent="0.2">
      <c r="A81" s="202">
        <v>2012</v>
      </c>
      <c r="B81" s="216">
        <v>0</v>
      </c>
      <c r="C81" s="217">
        <v>0</v>
      </c>
      <c r="D81" s="217">
        <v>0</v>
      </c>
      <c r="E81" s="217">
        <v>0</v>
      </c>
      <c r="F81" s="217">
        <v>0</v>
      </c>
      <c r="G81" s="217">
        <v>0</v>
      </c>
      <c r="H81" s="217">
        <v>0</v>
      </c>
      <c r="I81" s="217">
        <v>0</v>
      </c>
      <c r="J81" s="217">
        <v>0</v>
      </c>
      <c r="K81" s="217">
        <v>0</v>
      </c>
      <c r="L81" s="252">
        <v>0</v>
      </c>
      <c r="M81" s="168">
        <f t="shared" si="80"/>
        <v>0</v>
      </c>
      <c r="N81" s="170">
        <f t="shared" si="81"/>
        <v>0</v>
      </c>
      <c r="O81" s="216">
        <v>0</v>
      </c>
      <c r="P81" s="217">
        <v>0</v>
      </c>
      <c r="Q81" s="217">
        <v>0</v>
      </c>
      <c r="R81" s="217">
        <v>0</v>
      </c>
      <c r="S81" s="217">
        <v>0</v>
      </c>
      <c r="T81" s="217">
        <v>0</v>
      </c>
      <c r="U81" s="217">
        <v>0</v>
      </c>
      <c r="V81" s="217">
        <v>0</v>
      </c>
      <c r="W81" s="217">
        <v>0</v>
      </c>
      <c r="X81" s="217">
        <v>0</v>
      </c>
      <c r="Y81" s="252">
        <v>0</v>
      </c>
      <c r="Z81" s="168">
        <f t="shared" si="82"/>
        <v>0</v>
      </c>
      <c r="AA81" s="170">
        <f t="shared" si="83"/>
        <v>0</v>
      </c>
      <c r="AB81" s="795">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796">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069">
        <f t="shared" si="84"/>
        <v>0</v>
      </c>
      <c r="AE81" s="784">
        <f t="shared" si="85"/>
        <v>0</v>
      </c>
      <c r="AF81" s="784">
        <f t="shared" si="86"/>
        <v>0</v>
      </c>
      <c r="AG81" s="784">
        <f t="shared" si="87"/>
        <v>0</v>
      </c>
      <c r="AH81" s="1015">
        <f t="shared" si="88"/>
        <v>0</v>
      </c>
      <c r="AI81" s="784">
        <f t="shared" si="89"/>
        <v>0</v>
      </c>
      <c r="AJ81" s="1012"/>
      <c r="AK81" s="1012"/>
      <c r="AL81" s="1012"/>
      <c r="AM81" s="1014"/>
      <c r="AN81" s="1012"/>
      <c r="AO81" s="1012"/>
      <c r="AP81" s="1012"/>
      <c r="AQ81" s="1012"/>
      <c r="AR81" s="1012"/>
      <c r="AS81" s="1012"/>
    </row>
    <row r="82" spans="1:45" x14ac:dyDescent="0.2">
      <c r="A82" s="202">
        <v>2013</v>
      </c>
      <c r="B82" s="216">
        <v>0</v>
      </c>
      <c r="C82" s="217">
        <v>0</v>
      </c>
      <c r="D82" s="217">
        <v>0</v>
      </c>
      <c r="E82" s="217">
        <v>0</v>
      </c>
      <c r="F82" s="217">
        <v>0</v>
      </c>
      <c r="G82" s="217">
        <v>0</v>
      </c>
      <c r="H82" s="217">
        <v>0</v>
      </c>
      <c r="I82" s="217">
        <v>0</v>
      </c>
      <c r="J82" s="217">
        <v>0</v>
      </c>
      <c r="K82" s="217">
        <v>0</v>
      </c>
      <c r="L82" s="252">
        <v>0</v>
      </c>
      <c r="M82" s="168">
        <f t="shared" si="80"/>
        <v>0</v>
      </c>
      <c r="N82" s="170">
        <f t="shared" si="81"/>
        <v>0</v>
      </c>
      <c r="O82" s="216">
        <v>0</v>
      </c>
      <c r="P82" s="217">
        <v>0</v>
      </c>
      <c r="Q82" s="217">
        <v>0</v>
      </c>
      <c r="R82" s="217">
        <v>0</v>
      </c>
      <c r="S82" s="217">
        <v>0</v>
      </c>
      <c r="T82" s="217">
        <v>0</v>
      </c>
      <c r="U82" s="217">
        <v>0</v>
      </c>
      <c r="V82" s="217">
        <v>0</v>
      </c>
      <c r="W82" s="217">
        <v>0</v>
      </c>
      <c r="X82" s="217">
        <v>0</v>
      </c>
      <c r="Y82" s="252">
        <v>0</v>
      </c>
      <c r="Z82" s="168">
        <f t="shared" si="82"/>
        <v>0</v>
      </c>
      <c r="AA82" s="170">
        <f t="shared" si="83"/>
        <v>0</v>
      </c>
      <c r="AB82" s="795">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796">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069">
        <f t="shared" si="84"/>
        <v>0</v>
      </c>
      <c r="AE82" s="784">
        <f t="shared" si="85"/>
        <v>0</v>
      </c>
      <c r="AF82" s="784">
        <f t="shared" si="86"/>
        <v>0</v>
      </c>
      <c r="AG82" s="784">
        <f t="shared" si="87"/>
        <v>0</v>
      </c>
      <c r="AH82" s="1015">
        <f t="shared" si="88"/>
        <v>0</v>
      </c>
      <c r="AI82" s="784">
        <f t="shared" si="89"/>
        <v>0</v>
      </c>
      <c r="AJ82" s="1012"/>
      <c r="AK82" s="1012"/>
      <c r="AL82" s="1012"/>
      <c r="AM82" s="1014"/>
      <c r="AN82" s="1012"/>
      <c r="AO82" s="1012"/>
      <c r="AP82" s="1012"/>
      <c r="AQ82" s="1012"/>
      <c r="AR82" s="1012"/>
      <c r="AS82" s="1012"/>
    </row>
    <row r="83" spans="1:45" x14ac:dyDescent="0.2">
      <c r="A83" s="202">
        <v>2014</v>
      </c>
      <c r="B83" s="216">
        <v>0</v>
      </c>
      <c r="C83" s="217">
        <v>0</v>
      </c>
      <c r="D83" s="217">
        <v>0</v>
      </c>
      <c r="E83" s="217">
        <v>0</v>
      </c>
      <c r="F83" s="217">
        <v>0</v>
      </c>
      <c r="G83" s="217">
        <v>0</v>
      </c>
      <c r="H83" s="217">
        <v>0</v>
      </c>
      <c r="I83" s="217">
        <v>0</v>
      </c>
      <c r="J83" s="217">
        <v>0</v>
      </c>
      <c r="K83" s="217">
        <v>0</v>
      </c>
      <c r="L83" s="252">
        <v>0</v>
      </c>
      <c r="M83" s="168">
        <f t="shared" si="80"/>
        <v>0</v>
      </c>
      <c r="N83" s="170">
        <f t="shared" si="81"/>
        <v>0</v>
      </c>
      <c r="O83" s="216">
        <v>0</v>
      </c>
      <c r="P83" s="217">
        <v>0</v>
      </c>
      <c r="Q83" s="217">
        <v>0</v>
      </c>
      <c r="R83" s="217">
        <v>0</v>
      </c>
      <c r="S83" s="217">
        <v>0</v>
      </c>
      <c r="T83" s="217">
        <v>0</v>
      </c>
      <c r="U83" s="217">
        <v>0</v>
      </c>
      <c r="V83" s="217">
        <v>0</v>
      </c>
      <c r="W83" s="217">
        <v>0</v>
      </c>
      <c r="X83" s="217">
        <v>0</v>
      </c>
      <c r="Y83" s="252">
        <v>0</v>
      </c>
      <c r="Z83" s="168">
        <f t="shared" si="82"/>
        <v>0</v>
      </c>
      <c r="AA83" s="170">
        <f t="shared" si="83"/>
        <v>0</v>
      </c>
      <c r="AB83" s="795">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796">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069">
        <f t="shared" si="84"/>
        <v>0</v>
      </c>
      <c r="AE83" s="784">
        <f t="shared" si="85"/>
        <v>0</v>
      </c>
      <c r="AF83" s="784">
        <f t="shared" si="86"/>
        <v>0</v>
      </c>
      <c r="AG83" s="784">
        <f t="shared" si="87"/>
        <v>0</v>
      </c>
      <c r="AH83" s="1015">
        <f t="shared" si="88"/>
        <v>0</v>
      </c>
      <c r="AI83" s="784">
        <f t="shared" si="89"/>
        <v>0</v>
      </c>
      <c r="AJ83" s="1012"/>
      <c r="AK83" s="1012"/>
      <c r="AL83" s="1012"/>
      <c r="AM83" s="1014"/>
      <c r="AN83" s="1012"/>
      <c r="AO83" s="1012"/>
      <c r="AP83" s="1012"/>
      <c r="AQ83" s="1012"/>
      <c r="AR83" s="1012"/>
      <c r="AS83" s="1012"/>
    </row>
    <row r="84" spans="1:45" ht="13.5" thickBot="1" x14ac:dyDescent="0.25">
      <c r="A84" s="200">
        <v>2015</v>
      </c>
      <c r="B84" s="218">
        <v>0</v>
      </c>
      <c r="C84" s="219">
        <v>0</v>
      </c>
      <c r="D84" s="219">
        <v>0</v>
      </c>
      <c r="E84" s="219">
        <v>0</v>
      </c>
      <c r="F84" s="219">
        <v>0</v>
      </c>
      <c r="G84" s="219">
        <v>0</v>
      </c>
      <c r="H84" s="219">
        <v>0</v>
      </c>
      <c r="I84" s="219">
        <v>0</v>
      </c>
      <c r="J84" s="219">
        <v>0</v>
      </c>
      <c r="K84" s="219">
        <v>0</v>
      </c>
      <c r="L84" s="253">
        <v>0</v>
      </c>
      <c r="M84" s="182">
        <f t="shared" si="80"/>
        <v>0</v>
      </c>
      <c r="N84" s="184">
        <f t="shared" si="81"/>
        <v>0</v>
      </c>
      <c r="O84" s="218">
        <v>0</v>
      </c>
      <c r="P84" s="219">
        <v>0</v>
      </c>
      <c r="Q84" s="219">
        <v>0</v>
      </c>
      <c r="R84" s="219">
        <v>0</v>
      </c>
      <c r="S84" s="219">
        <v>0</v>
      </c>
      <c r="T84" s="219">
        <v>0</v>
      </c>
      <c r="U84" s="219">
        <v>0</v>
      </c>
      <c r="V84" s="219">
        <v>0</v>
      </c>
      <c r="W84" s="219">
        <v>0</v>
      </c>
      <c r="X84" s="219">
        <v>0</v>
      </c>
      <c r="Y84" s="253">
        <v>0</v>
      </c>
      <c r="Z84" s="182">
        <f t="shared" si="82"/>
        <v>0</v>
      </c>
      <c r="AA84" s="184">
        <f t="shared" si="83"/>
        <v>0</v>
      </c>
      <c r="AB84" s="795">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796">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069">
        <f t="shared" si="84"/>
        <v>0</v>
      </c>
      <c r="AE84" s="784">
        <f t="shared" si="85"/>
        <v>0</v>
      </c>
      <c r="AF84" s="784">
        <f t="shared" si="86"/>
        <v>0</v>
      </c>
      <c r="AG84" s="784">
        <f t="shared" si="87"/>
        <v>0</v>
      </c>
      <c r="AH84" s="1015">
        <f t="shared" si="88"/>
        <v>0</v>
      </c>
      <c r="AI84" s="784">
        <f t="shared" si="89"/>
        <v>0</v>
      </c>
      <c r="AJ84" s="1012"/>
      <c r="AK84" s="1012"/>
      <c r="AL84" s="1012"/>
      <c r="AM84" s="1014"/>
      <c r="AN84" s="1012"/>
      <c r="AO84" s="1012"/>
      <c r="AP84" s="1012"/>
      <c r="AQ84" s="1012"/>
      <c r="AR84" s="1012"/>
      <c r="AS84" s="1012"/>
    </row>
    <row r="85" spans="1:45" x14ac:dyDescent="0.2">
      <c r="A85" s="201">
        <v>2016</v>
      </c>
      <c r="B85" s="214">
        <v>0</v>
      </c>
      <c r="C85" s="215">
        <v>0</v>
      </c>
      <c r="D85" s="215">
        <v>0</v>
      </c>
      <c r="E85" s="215">
        <v>0</v>
      </c>
      <c r="F85" s="215">
        <v>0</v>
      </c>
      <c r="G85" s="215">
        <v>0</v>
      </c>
      <c r="H85" s="215">
        <v>0</v>
      </c>
      <c r="I85" s="215">
        <v>0</v>
      </c>
      <c r="J85" s="215">
        <v>0</v>
      </c>
      <c r="K85" s="215">
        <v>0</v>
      </c>
      <c r="L85" s="251">
        <v>0</v>
      </c>
      <c r="M85" s="154">
        <f t="shared" si="80"/>
        <v>0</v>
      </c>
      <c r="N85" s="156">
        <f t="shared" si="81"/>
        <v>0</v>
      </c>
      <c r="O85" s="214">
        <v>0</v>
      </c>
      <c r="P85" s="215">
        <v>0</v>
      </c>
      <c r="Q85" s="215">
        <v>0</v>
      </c>
      <c r="R85" s="215">
        <v>0</v>
      </c>
      <c r="S85" s="215">
        <v>0</v>
      </c>
      <c r="T85" s="215">
        <v>0</v>
      </c>
      <c r="U85" s="215">
        <v>0</v>
      </c>
      <c r="V85" s="215">
        <v>0</v>
      </c>
      <c r="W85" s="215">
        <v>0</v>
      </c>
      <c r="X85" s="215">
        <v>0</v>
      </c>
      <c r="Y85" s="251">
        <v>0</v>
      </c>
      <c r="Z85" s="154">
        <f t="shared" si="82"/>
        <v>0</v>
      </c>
      <c r="AA85" s="156">
        <f t="shared" si="83"/>
        <v>0</v>
      </c>
      <c r="AB85" s="795">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796">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069">
        <f t="shared" si="84"/>
        <v>0</v>
      </c>
      <c r="AE85" s="784">
        <f t="shared" si="85"/>
        <v>0</v>
      </c>
      <c r="AF85" s="784">
        <f t="shared" si="86"/>
        <v>0</v>
      </c>
      <c r="AG85" s="784">
        <f t="shared" si="87"/>
        <v>0</v>
      </c>
      <c r="AH85" s="1015">
        <f t="shared" si="88"/>
        <v>0</v>
      </c>
      <c r="AI85" s="784">
        <f t="shared" si="89"/>
        <v>0</v>
      </c>
      <c r="AJ85" s="1012"/>
      <c r="AK85" s="1012"/>
      <c r="AL85" s="1012"/>
      <c r="AM85" s="1014"/>
      <c r="AN85" s="1012"/>
      <c r="AO85" s="1012"/>
      <c r="AP85" s="1012"/>
      <c r="AQ85" s="1012"/>
      <c r="AR85" s="1012"/>
      <c r="AS85" s="1012"/>
    </row>
    <row r="86" spans="1:45" x14ac:dyDescent="0.2">
      <c r="A86" s="202">
        <v>2017</v>
      </c>
      <c r="B86" s="216">
        <v>0</v>
      </c>
      <c r="C86" s="217">
        <v>0</v>
      </c>
      <c r="D86" s="217">
        <v>0</v>
      </c>
      <c r="E86" s="217">
        <v>0</v>
      </c>
      <c r="F86" s="217">
        <v>0</v>
      </c>
      <c r="G86" s="217">
        <v>0</v>
      </c>
      <c r="H86" s="217">
        <v>0</v>
      </c>
      <c r="I86" s="217">
        <v>0</v>
      </c>
      <c r="J86" s="217">
        <v>0</v>
      </c>
      <c r="K86" s="217">
        <v>0</v>
      </c>
      <c r="L86" s="252">
        <v>0</v>
      </c>
      <c r="M86" s="168">
        <f t="shared" si="80"/>
        <v>0</v>
      </c>
      <c r="N86" s="170">
        <f t="shared" si="81"/>
        <v>0</v>
      </c>
      <c r="O86" s="216">
        <v>0</v>
      </c>
      <c r="P86" s="217">
        <v>0</v>
      </c>
      <c r="Q86" s="217">
        <v>0</v>
      </c>
      <c r="R86" s="217">
        <v>0</v>
      </c>
      <c r="S86" s="217">
        <v>0</v>
      </c>
      <c r="T86" s="217">
        <v>0</v>
      </c>
      <c r="U86" s="217">
        <v>0</v>
      </c>
      <c r="V86" s="217">
        <v>0</v>
      </c>
      <c r="W86" s="217">
        <v>0</v>
      </c>
      <c r="X86" s="217">
        <v>0</v>
      </c>
      <c r="Y86" s="252">
        <v>0</v>
      </c>
      <c r="Z86" s="168">
        <f t="shared" si="82"/>
        <v>0</v>
      </c>
      <c r="AA86" s="170">
        <f t="shared" si="83"/>
        <v>0</v>
      </c>
      <c r="AB86" s="795">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796">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069">
        <f t="shared" si="84"/>
        <v>0</v>
      </c>
      <c r="AE86" s="784">
        <f t="shared" si="85"/>
        <v>0</v>
      </c>
      <c r="AF86" s="784">
        <f t="shared" si="86"/>
        <v>0</v>
      </c>
      <c r="AG86" s="784">
        <f t="shared" si="87"/>
        <v>0</v>
      </c>
      <c r="AH86" s="1015">
        <f t="shared" si="88"/>
        <v>0</v>
      </c>
      <c r="AI86" s="784">
        <f t="shared" si="89"/>
        <v>0</v>
      </c>
      <c r="AJ86" s="1012"/>
      <c r="AK86" s="1012"/>
      <c r="AL86" s="1012"/>
      <c r="AM86" s="1014"/>
      <c r="AN86" s="1012"/>
      <c r="AO86" s="1012"/>
      <c r="AP86" s="1012"/>
      <c r="AQ86" s="1012"/>
      <c r="AR86" s="1012"/>
      <c r="AS86" s="1012"/>
    </row>
    <row r="87" spans="1:45" x14ac:dyDescent="0.2">
      <c r="A87" s="202">
        <v>2018</v>
      </c>
      <c r="B87" s="216">
        <v>0</v>
      </c>
      <c r="C87" s="217">
        <v>0</v>
      </c>
      <c r="D87" s="217">
        <v>0</v>
      </c>
      <c r="E87" s="217">
        <v>0</v>
      </c>
      <c r="F87" s="217">
        <v>0</v>
      </c>
      <c r="G87" s="217">
        <v>0</v>
      </c>
      <c r="H87" s="217">
        <v>0</v>
      </c>
      <c r="I87" s="217">
        <v>0</v>
      </c>
      <c r="J87" s="217">
        <v>0</v>
      </c>
      <c r="K87" s="217">
        <v>0</v>
      </c>
      <c r="L87" s="252">
        <v>0</v>
      </c>
      <c r="M87" s="168">
        <f t="shared" si="80"/>
        <v>0</v>
      </c>
      <c r="N87" s="170">
        <f t="shared" si="81"/>
        <v>0</v>
      </c>
      <c r="O87" s="216">
        <v>0</v>
      </c>
      <c r="P87" s="217">
        <v>0</v>
      </c>
      <c r="Q87" s="217">
        <v>0</v>
      </c>
      <c r="R87" s="217">
        <v>0</v>
      </c>
      <c r="S87" s="217">
        <v>0</v>
      </c>
      <c r="T87" s="217">
        <v>0</v>
      </c>
      <c r="U87" s="217">
        <v>0</v>
      </c>
      <c r="V87" s="217">
        <v>0</v>
      </c>
      <c r="W87" s="217">
        <v>0</v>
      </c>
      <c r="X87" s="217">
        <v>0</v>
      </c>
      <c r="Y87" s="252">
        <v>0</v>
      </c>
      <c r="Z87" s="168">
        <f t="shared" si="82"/>
        <v>0</v>
      </c>
      <c r="AA87" s="170">
        <f t="shared" si="83"/>
        <v>0</v>
      </c>
      <c r="AB87" s="795">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796">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069">
        <f t="shared" si="84"/>
        <v>0</v>
      </c>
      <c r="AE87" s="784">
        <f t="shared" si="85"/>
        <v>0</v>
      </c>
      <c r="AF87" s="784">
        <f t="shared" si="86"/>
        <v>0</v>
      </c>
      <c r="AG87" s="784">
        <f t="shared" si="87"/>
        <v>0</v>
      </c>
      <c r="AH87" s="1015">
        <f t="shared" si="88"/>
        <v>0</v>
      </c>
      <c r="AI87" s="784">
        <f t="shared" si="89"/>
        <v>0</v>
      </c>
      <c r="AJ87" s="1012"/>
      <c r="AK87" s="1012"/>
      <c r="AL87" s="1012"/>
      <c r="AM87" s="1014"/>
      <c r="AN87" s="1012"/>
      <c r="AO87" s="1012"/>
      <c r="AP87" s="1012"/>
      <c r="AQ87" s="1012"/>
      <c r="AR87" s="1012"/>
      <c r="AS87" s="1012"/>
    </row>
    <row r="88" spans="1:45" x14ac:dyDescent="0.2">
      <c r="A88" s="202">
        <v>2019</v>
      </c>
      <c r="B88" s="216">
        <v>0</v>
      </c>
      <c r="C88" s="217">
        <v>0</v>
      </c>
      <c r="D88" s="217">
        <v>0</v>
      </c>
      <c r="E88" s="217">
        <v>0</v>
      </c>
      <c r="F88" s="217">
        <v>0</v>
      </c>
      <c r="G88" s="217">
        <v>0</v>
      </c>
      <c r="H88" s="217">
        <v>0</v>
      </c>
      <c r="I88" s="217">
        <v>0</v>
      </c>
      <c r="J88" s="217">
        <v>0</v>
      </c>
      <c r="K88" s="217">
        <v>0</v>
      </c>
      <c r="L88" s="252">
        <v>0</v>
      </c>
      <c r="M88" s="168">
        <f t="shared" si="80"/>
        <v>0</v>
      </c>
      <c r="N88" s="170">
        <f t="shared" si="81"/>
        <v>0</v>
      </c>
      <c r="O88" s="216">
        <v>0</v>
      </c>
      <c r="P88" s="217">
        <v>0</v>
      </c>
      <c r="Q88" s="217">
        <v>0</v>
      </c>
      <c r="R88" s="217">
        <v>0</v>
      </c>
      <c r="S88" s="217">
        <v>0</v>
      </c>
      <c r="T88" s="217">
        <v>0</v>
      </c>
      <c r="U88" s="217">
        <v>0</v>
      </c>
      <c r="V88" s="217">
        <v>0</v>
      </c>
      <c r="W88" s="217">
        <v>0</v>
      </c>
      <c r="X88" s="217">
        <v>0</v>
      </c>
      <c r="Y88" s="252">
        <v>0</v>
      </c>
      <c r="Z88" s="168">
        <f t="shared" si="82"/>
        <v>0</v>
      </c>
      <c r="AA88" s="170">
        <f t="shared" si="83"/>
        <v>0</v>
      </c>
      <c r="AB88" s="795">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796">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069">
        <f t="shared" si="84"/>
        <v>0</v>
      </c>
      <c r="AE88" s="784">
        <f t="shared" si="85"/>
        <v>0</v>
      </c>
      <c r="AF88" s="784">
        <f t="shared" si="86"/>
        <v>0</v>
      </c>
      <c r="AG88" s="784">
        <f t="shared" si="87"/>
        <v>0</v>
      </c>
      <c r="AH88" s="1015">
        <f t="shared" si="88"/>
        <v>0</v>
      </c>
      <c r="AI88" s="784">
        <f t="shared" si="89"/>
        <v>0</v>
      </c>
      <c r="AJ88" s="1012"/>
      <c r="AK88" s="1012"/>
      <c r="AL88" s="1012"/>
      <c r="AM88" s="1014"/>
      <c r="AN88" s="1012"/>
      <c r="AO88" s="1012"/>
      <c r="AP88" s="1012"/>
      <c r="AQ88" s="1012"/>
      <c r="AR88" s="1012"/>
      <c r="AS88" s="1012"/>
    </row>
    <row r="89" spans="1:45" ht="13.5" thickBot="1" x14ac:dyDescent="0.25">
      <c r="A89" s="200">
        <v>2020</v>
      </c>
      <c r="B89" s="218">
        <v>0</v>
      </c>
      <c r="C89" s="219">
        <v>0</v>
      </c>
      <c r="D89" s="219">
        <v>0</v>
      </c>
      <c r="E89" s="219">
        <v>0</v>
      </c>
      <c r="F89" s="219">
        <v>0</v>
      </c>
      <c r="G89" s="219">
        <v>0</v>
      </c>
      <c r="H89" s="219">
        <v>0</v>
      </c>
      <c r="I89" s="219">
        <v>0</v>
      </c>
      <c r="J89" s="219">
        <v>0</v>
      </c>
      <c r="K89" s="219">
        <v>0</v>
      </c>
      <c r="L89" s="253">
        <v>0</v>
      </c>
      <c r="M89" s="182">
        <f t="shared" si="80"/>
        <v>0</v>
      </c>
      <c r="N89" s="184">
        <f t="shared" si="81"/>
        <v>0</v>
      </c>
      <c r="O89" s="218">
        <v>0</v>
      </c>
      <c r="P89" s="219">
        <v>0</v>
      </c>
      <c r="Q89" s="219">
        <v>0</v>
      </c>
      <c r="R89" s="219">
        <v>0</v>
      </c>
      <c r="S89" s="219">
        <v>0</v>
      </c>
      <c r="T89" s="219">
        <v>0</v>
      </c>
      <c r="U89" s="219">
        <v>0</v>
      </c>
      <c r="V89" s="219">
        <v>0</v>
      </c>
      <c r="W89" s="219">
        <v>0</v>
      </c>
      <c r="X89" s="219">
        <v>0</v>
      </c>
      <c r="Y89" s="253">
        <v>0</v>
      </c>
      <c r="Z89" s="182">
        <f t="shared" si="82"/>
        <v>0</v>
      </c>
      <c r="AA89" s="184">
        <f t="shared" si="83"/>
        <v>0</v>
      </c>
      <c r="AB89" s="795">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796">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069">
        <f t="shared" si="84"/>
        <v>0</v>
      </c>
      <c r="AE89" s="784">
        <f t="shared" si="85"/>
        <v>0</v>
      </c>
      <c r="AF89" s="784">
        <f t="shared" si="86"/>
        <v>0</v>
      </c>
      <c r="AG89" s="784">
        <f t="shared" si="87"/>
        <v>0</v>
      </c>
      <c r="AH89" s="1015">
        <f t="shared" si="88"/>
        <v>0</v>
      </c>
      <c r="AI89" s="784">
        <f t="shared" si="89"/>
        <v>0</v>
      </c>
      <c r="AJ89" s="1012"/>
      <c r="AK89" s="1012"/>
      <c r="AL89" s="1012"/>
      <c r="AM89" s="1014"/>
      <c r="AN89" s="1012"/>
      <c r="AO89" s="1012"/>
      <c r="AP89" s="1012"/>
      <c r="AQ89" s="1012"/>
      <c r="AR89" s="1012"/>
      <c r="AS89" s="1012"/>
    </row>
    <row r="90" spans="1:45" x14ac:dyDescent="0.2">
      <c r="A90" s="201">
        <v>2021</v>
      </c>
      <c r="B90" s="214">
        <v>0</v>
      </c>
      <c r="C90" s="215">
        <v>0</v>
      </c>
      <c r="D90" s="215">
        <v>0</v>
      </c>
      <c r="E90" s="215">
        <v>0</v>
      </c>
      <c r="F90" s="215">
        <v>0</v>
      </c>
      <c r="G90" s="215">
        <v>0</v>
      </c>
      <c r="H90" s="215">
        <v>0</v>
      </c>
      <c r="I90" s="215">
        <v>0</v>
      </c>
      <c r="J90" s="215">
        <v>0</v>
      </c>
      <c r="K90" s="215">
        <v>0</v>
      </c>
      <c r="L90" s="251">
        <v>0</v>
      </c>
      <c r="M90" s="154">
        <f t="shared" si="80"/>
        <v>0</v>
      </c>
      <c r="N90" s="156">
        <f t="shared" si="81"/>
        <v>0</v>
      </c>
      <c r="O90" s="214">
        <v>0</v>
      </c>
      <c r="P90" s="215">
        <v>0</v>
      </c>
      <c r="Q90" s="215">
        <v>0</v>
      </c>
      <c r="R90" s="215">
        <v>0</v>
      </c>
      <c r="S90" s="215">
        <v>0</v>
      </c>
      <c r="T90" s="215">
        <v>0</v>
      </c>
      <c r="U90" s="215">
        <v>0</v>
      </c>
      <c r="V90" s="215">
        <v>0</v>
      </c>
      <c r="W90" s="215">
        <v>0</v>
      </c>
      <c r="X90" s="215">
        <v>0</v>
      </c>
      <c r="Y90" s="251">
        <v>0</v>
      </c>
      <c r="Z90" s="154">
        <f t="shared" si="82"/>
        <v>0</v>
      </c>
      <c r="AA90" s="156">
        <f t="shared" si="83"/>
        <v>0</v>
      </c>
      <c r="AB90" s="795">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796">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069">
        <f t="shared" si="84"/>
        <v>0</v>
      </c>
      <c r="AE90" s="784">
        <f t="shared" si="85"/>
        <v>0</v>
      </c>
      <c r="AF90" s="784">
        <f t="shared" si="86"/>
        <v>0</v>
      </c>
      <c r="AG90" s="784">
        <f t="shared" si="87"/>
        <v>0</v>
      </c>
      <c r="AH90" s="1015">
        <f t="shared" si="88"/>
        <v>0</v>
      </c>
      <c r="AI90" s="784">
        <f t="shared" si="89"/>
        <v>0</v>
      </c>
      <c r="AJ90" s="1012"/>
      <c r="AK90" s="1012"/>
      <c r="AL90" s="1012"/>
      <c r="AM90" s="1014"/>
      <c r="AN90" s="1012"/>
      <c r="AO90" s="1012"/>
      <c r="AP90" s="1012"/>
      <c r="AQ90" s="1012"/>
      <c r="AR90" s="1012"/>
      <c r="AS90" s="1012"/>
    </row>
    <row r="91" spans="1:45" x14ac:dyDescent="0.2">
      <c r="A91" s="202">
        <v>2022</v>
      </c>
      <c r="B91" s="216">
        <v>0</v>
      </c>
      <c r="C91" s="217">
        <v>0</v>
      </c>
      <c r="D91" s="217">
        <v>0</v>
      </c>
      <c r="E91" s="217">
        <v>0</v>
      </c>
      <c r="F91" s="217">
        <v>0</v>
      </c>
      <c r="G91" s="217">
        <v>0</v>
      </c>
      <c r="H91" s="217">
        <v>0</v>
      </c>
      <c r="I91" s="217">
        <v>0</v>
      </c>
      <c r="J91" s="217">
        <v>0</v>
      </c>
      <c r="K91" s="217">
        <v>0</v>
      </c>
      <c r="L91" s="252">
        <v>0</v>
      </c>
      <c r="M91" s="168">
        <f t="shared" si="80"/>
        <v>0</v>
      </c>
      <c r="N91" s="170">
        <f t="shared" si="81"/>
        <v>0</v>
      </c>
      <c r="O91" s="216">
        <v>0</v>
      </c>
      <c r="P91" s="217">
        <v>0</v>
      </c>
      <c r="Q91" s="217">
        <v>0</v>
      </c>
      <c r="R91" s="217">
        <v>0</v>
      </c>
      <c r="S91" s="217">
        <v>0</v>
      </c>
      <c r="T91" s="217">
        <v>0</v>
      </c>
      <c r="U91" s="217">
        <v>0</v>
      </c>
      <c r="V91" s="217">
        <v>0</v>
      </c>
      <c r="W91" s="217">
        <v>0</v>
      </c>
      <c r="X91" s="217">
        <v>0</v>
      </c>
      <c r="Y91" s="252">
        <v>0</v>
      </c>
      <c r="Z91" s="168">
        <f t="shared" si="82"/>
        <v>0</v>
      </c>
      <c r="AA91" s="170">
        <f t="shared" si="83"/>
        <v>0</v>
      </c>
      <c r="AB91" s="795">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796">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069">
        <f t="shared" si="84"/>
        <v>0</v>
      </c>
      <c r="AE91" s="784">
        <f>SUMPRODUCT($B$74:$L$74,B91:L91)</f>
        <v>0</v>
      </c>
      <c r="AF91" s="784">
        <f>SUMPRODUCT($O$74:$Y$74,O91:Y91)</f>
        <v>0</v>
      </c>
      <c r="AG91" s="784">
        <f>SUM(AE91:AF91)</f>
        <v>0</v>
      </c>
      <c r="AH91" s="1015">
        <f t="shared" si="88"/>
        <v>0</v>
      </c>
      <c r="AI91" s="784">
        <f t="shared" si="89"/>
        <v>0</v>
      </c>
      <c r="AJ91" s="1012"/>
      <c r="AK91" s="1014"/>
      <c r="AL91" s="1014"/>
      <c r="AM91" s="1014"/>
      <c r="AN91" s="1012"/>
      <c r="AO91" s="1014"/>
      <c r="AP91" s="1012"/>
      <c r="AQ91" s="1012"/>
      <c r="AR91" s="1012"/>
      <c r="AS91" s="1012"/>
    </row>
    <row r="92" spans="1:45" x14ac:dyDescent="0.2">
      <c r="A92" s="202">
        <v>2023</v>
      </c>
      <c r="B92" s="216">
        <v>0</v>
      </c>
      <c r="C92" s="217">
        <v>0</v>
      </c>
      <c r="D92" s="217">
        <v>0</v>
      </c>
      <c r="E92" s="217">
        <v>0</v>
      </c>
      <c r="F92" s="217">
        <v>0</v>
      </c>
      <c r="G92" s="217">
        <v>0</v>
      </c>
      <c r="H92" s="217">
        <v>0</v>
      </c>
      <c r="I92" s="217">
        <v>0</v>
      </c>
      <c r="J92" s="217">
        <v>0</v>
      </c>
      <c r="K92" s="217">
        <v>0</v>
      </c>
      <c r="L92" s="252">
        <v>0</v>
      </c>
      <c r="M92" s="168">
        <f t="shared" si="80"/>
        <v>0</v>
      </c>
      <c r="N92" s="170">
        <f t="shared" si="81"/>
        <v>0</v>
      </c>
      <c r="O92" s="216">
        <v>0</v>
      </c>
      <c r="P92" s="217">
        <v>0</v>
      </c>
      <c r="Q92" s="217">
        <v>0</v>
      </c>
      <c r="R92" s="217">
        <v>0</v>
      </c>
      <c r="S92" s="217">
        <v>0</v>
      </c>
      <c r="T92" s="217">
        <v>0</v>
      </c>
      <c r="U92" s="217">
        <v>0</v>
      </c>
      <c r="V92" s="217">
        <v>0</v>
      </c>
      <c r="W92" s="217">
        <v>0</v>
      </c>
      <c r="X92" s="217">
        <v>0</v>
      </c>
      <c r="Y92" s="252">
        <v>0</v>
      </c>
      <c r="Z92" s="168">
        <f t="shared" si="82"/>
        <v>0</v>
      </c>
      <c r="AA92" s="170">
        <f t="shared" si="83"/>
        <v>0</v>
      </c>
      <c r="AB92" s="795">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796">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069">
        <f t="shared" si="84"/>
        <v>0</v>
      </c>
      <c r="AE92" s="784">
        <f t="shared" ref="AE92:AE119" si="90">SUMPRODUCT($B$74:$L$74,B92:L92)</f>
        <v>0</v>
      </c>
      <c r="AF92" s="784">
        <f t="shared" ref="AF92:AF119" si="91">SUMPRODUCT($O$74:$Y$74,O92:Y92)</f>
        <v>0</v>
      </c>
      <c r="AG92" s="784">
        <f t="shared" ref="AG92:AG119" si="92">SUM(AE92:AF92)</f>
        <v>0</v>
      </c>
      <c r="AH92" s="1015">
        <f t="shared" si="88"/>
        <v>0</v>
      </c>
      <c r="AI92" s="784">
        <f t="shared" si="89"/>
        <v>0</v>
      </c>
      <c r="AJ92" s="1012"/>
      <c r="AK92" s="1014"/>
      <c r="AL92" s="1014"/>
      <c r="AM92" s="1014"/>
      <c r="AN92" s="1012"/>
      <c r="AO92" s="1014"/>
      <c r="AP92" s="1012"/>
      <c r="AQ92" s="1012"/>
      <c r="AR92" s="1012"/>
      <c r="AS92" s="1012"/>
    </row>
    <row r="93" spans="1:45" x14ac:dyDescent="0.2">
      <c r="A93" s="202">
        <v>2024</v>
      </c>
      <c r="B93" s="216">
        <v>0</v>
      </c>
      <c r="C93" s="217">
        <v>0</v>
      </c>
      <c r="D93" s="217">
        <v>0</v>
      </c>
      <c r="E93" s="217">
        <v>0</v>
      </c>
      <c r="F93" s="217">
        <v>0</v>
      </c>
      <c r="G93" s="217">
        <v>0</v>
      </c>
      <c r="H93" s="217">
        <v>0</v>
      </c>
      <c r="I93" s="217">
        <v>0</v>
      </c>
      <c r="J93" s="217">
        <v>0</v>
      </c>
      <c r="K93" s="217">
        <v>0</v>
      </c>
      <c r="L93" s="252">
        <v>0</v>
      </c>
      <c r="M93" s="168">
        <f t="shared" si="80"/>
        <v>0</v>
      </c>
      <c r="N93" s="170">
        <f t="shared" si="81"/>
        <v>0</v>
      </c>
      <c r="O93" s="216">
        <v>0</v>
      </c>
      <c r="P93" s="217">
        <v>0</v>
      </c>
      <c r="Q93" s="217">
        <v>0</v>
      </c>
      <c r="R93" s="217">
        <v>0</v>
      </c>
      <c r="S93" s="217">
        <v>0</v>
      </c>
      <c r="T93" s="217">
        <v>0</v>
      </c>
      <c r="U93" s="217">
        <v>0</v>
      </c>
      <c r="V93" s="217">
        <v>0</v>
      </c>
      <c r="W93" s="217">
        <v>0</v>
      </c>
      <c r="X93" s="217">
        <v>0</v>
      </c>
      <c r="Y93" s="252">
        <v>0</v>
      </c>
      <c r="Z93" s="168">
        <f t="shared" si="82"/>
        <v>0</v>
      </c>
      <c r="AA93" s="170">
        <f t="shared" si="83"/>
        <v>0</v>
      </c>
      <c r="AB93" s="795">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796">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069">
        <f t="shared" si="84"/>
        <v>0</v>
      </c>
      <c r="AE93" s="784">
        <f t="shared" si="90"/>
        <v>0</v>
      </c>
      <c r="AF93" s="784">
        <f t="shared" si="91"/>
        <v>0</v>
      </c>
      <c r="AG93" s="784">
        <f t="shared" si="92"/>
        <v>0</v>
      </c>
      <c r="AH93" s="1015">
        <f t="shared" si="88"/>
        <v>0</v>
      </c>
      <c r="AI93" s="784">
        <f t="shared" si="89"/>
        <v>0</v>
      </c>
      <c r="AJ93" s="1012"/>
      <c r="AK93" s="1014"/>
      <c r="AL93" s="1014"/>
      <c r="AM93" s="1014"/>
      <c r="AN93" s="1012"/>
      <c r="AO93" s="1014"/>
      <c r="AP93" s="1012"/>
      <c r="AQ93" s="1012"/>
      <c r="AR93" s="1012"/>
      <c r="AS93" s="1012"/>
    </row>
    <row r="94" spans="1:45" ht="13.5" thickBot="1" x14ac:dyDescent="0.25">
      <c r="A94" s="200">
        <v>2025</v>
      </c>
      <c r="B94" s="218">
        <v>0</v>
      </c>
      <c r="C94" s="219">
        <v>0</v>
      </c>
      <c r="D94" s="219">
        <v>0</v>
      </c>
      <c r="E94" s="219">
        <v>0</v>
      </c>
      <c r="F94" s="219">
        <v>0</v>
      </c>
      <c r="G94" s="219">
        <v>0</v>
      </c>
      <c r="H94" s="219">
        <v>0</v>
      </c>
      <c r="I94" s="219">
        <v>0</v>
      </c>
      <c r="J94" s="219">
        <v>0</v>
      </c>
      <c r="K94" s="219">
        <v>0</v>
      </c>
      <c r="L94" s="253">
        <v>0</v>
      </c>
      <c r="M94" s="182">
        <f t="shared" si="80"/>
        <v>0</v>
      </c>
      <c r="N94" s="184">
        <f t="shared" si="81"/>
        <v>0</v>
      </c>
      <c r="O94" s="218">
        <v>0</v>
      </c>
      <c r="P94" s="219">
        <v>0</v>
      </c>
      <c r="Q94" s="219">
        <v>0</v>
      </c>
      <c r="R94" s="219">
        <v>0</v>
      </c>
      <c r="S94" s="219">
        <v>0</v>
      </c>
      <c r="T94" s="219">
        <v>0</v>
      </c>
      <c r="U94" s="219">
        <v>0</v>
      </c>
      <c r="V94" s="219">
        <v>0</v>
      </c>
      <c r="W94" s="219">
        <v>0</v>
      </c>
      <c r="X94" s="219">
        <v>0</v>
      </c>
      <c r="Y94" s="253">
        <v>0</v>
      </c>
      <c r="Z94" s="182">
        <f t="shared" si="82"/>
        <v>0</v>
      </c>
      <c r="AA94" s="184">
        <f t="shared" si="83"/>
        <v>0</v>
      </c>
      <c r="AB94" s="795">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796">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069">
        <f t="shared" si="84"/>
        <v>0</v>
      </c>
      <c r="AE94" s="784">
        <f t="shared" si="90"/>
        <v>0</v>
      </c>
      <c r="AF94" s="784">
        <f t="shared" si="91"/>
        <v>0</v>
      </c>
      <c r="AG94" s="784">
        <f t="shared" si="92"/>
        <v>0</v>
      </c>
      <c r="AH94" s="1015">
        <f t="shared" si="88"/>
        <v>0</v>
      </c>
      <c r="AI94" s="784">
        <f t="shared" si="89"/>
        <v>0</v>
      </c>
      <c r="AJ94" s="1012"/>
      <c r="AK94" s="1014"/>
      <c r="AL94" s="1014"/>
      <c r="AM94" s="1014"/>
      <c r="AN94" s="1012"/>
      <c r="AO94" s="1014"/>
      <c r="AP94" s="1012"/>
      <c r="AQ94" s="1012"/>
      <c r="AR94" s="1012"/>
      <c r="AS94" s="1012"/>
    </row>
    <row r="95" spans="1:45" x14ac:dyDescent="0.2">
      <c r="A95" s="201">
        <v>2026</v>
      </c>
      <c r="B95" s="214">
        <v>0</v>
      </c>
      <c r="C95" s="215">
        <v>0</v>
      </c>
      <c r="D95" s="215">
        <v>1.0621629239651066E-3</v>
      </c>
      <c r="E95" s="215">
        <v>7.6028499627198961E-3</v>
      </c>
      <c r="F95" s="215">
        <v>1.2798398175143357E-2</v>
      </c>
      <c r="G95" s="215">
        <v>1.6199811687606563E-2</v>
      </c>
      <c r="H95" s="215">
        <v>1.8229860888067387E-2</v>
      </c>
      <c r="I95" s="215">
        <v>2.0809656634955317E-2</v>
      </c>
      <c r="J95" s="215">
        <v>2.1668188905667737E-2</v>
      </c>
      <c r="K95" s="215">
        <v>2.1839387734133055E-2</v>
      </c>
      <c r="L95" s="251">
        <v>2.3321934542667011E-2</v>
      </c>
      <c r="M95" s="154">
        <f t="shared" si="80"/>
        <v>3.8665509720768928E-3</v>
      </c>
      <c r="N95" s="156">
        <f t="shared" si="81"/>
        <v>3.4553475144112277E-3</v>
      </c>
      <c r="O95" s="214">
        <v>0</v>
      </c>
      <c r="P95" s="215">
        <v>0</v>
      </c>
      <c r="Q95" s="215">
        <v>2.2122456238747958E-3</v>
      </c>
      <c r="R95" s="215">
        <v>8.054941180854808E-3</v>
      </c>
      <c r="S95" s="215">
        <v>1.4511618939726042E-2</v>
      </c>
      <c r="T95" s="215">
        <v>1.7902261482515024E-2</v>
      </c>
      <c r="U95" s="215">
        <v>1.9830141505850461E-2</v>
      </c>
      <c r="V95" s="215">
        <v>2.0325361930156539E-2</v>
      </c>
      <c r="W95" s="215">
        <v>2.1668188905667737E-2</v>
      </c>
      <c r="X95" s="215">
        <v>2.2807904381307819E-2</v>
      </c>
      <c r="Y95" s="251">
        <v>2.3321934542667011E-2</v>
      </c>
      <c r="Z95" s="154">
        <f t="shared" si="82"/>
        <v>1.4065510657589649E-2</v>
      </c>
      <c r="AA95" s="156">
        <f t="shared" si="83"/>
        <v>1.2577275007334309E-2</v>
      </c>
      <c r="AB95" s="795">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796">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069">
        <f t="shared" si="84"/>
        <v>0</v>
      </c>
      <c r="AE95" s="784">
        <f t="shared" si="90"/>
        <v>3.8665509720768928E-3</v>
      </c>
      <c r="AF95" s="784">
        <f t="shared" si="91"/>
        <v>1.4065510657589649E-2</v>
      </c>
      <c r="AG95" s="784">
        <f t="shared" si="92"/>
        <v>1.793206162966654E-2</v>
      </c>
      <c r="AH95" s="1015">
        <f t="shared" si="88"/>
        <v>0.21562222191340941</v>
      </c>
      <c r="AI95" s="784">
        <f t="shared" si="89"/>
        <v>0.7843777780865907</v>
      </c>
      <c r="AJ95" s="1012"/>
      <c r="AK95" s="1014"/>
      <c r="AL95" s="1014"/>
      <c r="AM95" s="1014"/>
      <c r="AN95" s="1012"/>
      <c r="AO95" s="1014"/>
      <c r="AP95" s="1012"/>
      <c r="AQ95" s="1012"/>
      <c r="AR95" s="1012"/>
      <c r="AS95" s="1012"/>
    </row>
    <row r="96" spans="1:45" x14ac:dyDescent="0.2">
      <c r="A96" s="202">
        <v>2027</v>
      </c>
      <c r="B96" s="216">
        <v>0</v>
      </c>
      <c r="C96" s="217">
        <v>0</v>
      </c>
      <c r="D96" s="217">
        <v>2.5735805575125033E-5</v>
      </c>
      <c r="E96" s="217">
        <v>2.2767096975551369E-3</v>
      </c>
      <c r="F96" s="217">
        <v>9.0743405645764344E-3</v>
      </c>
      <c r="G96" s="217">
        <v>1.8614453329864729E-2</v>
      </c>
      <c r="H96" s="217">
        <v>2.5142183284250736E-2</v>
      </c>
      <c r="I96" s="217">
        <v>3.3649824627528524E-2</v>
      </c>
      <c r="J96" s="217">
        <v>3.9595702761149404E-2</v>
      </c>
      <c r="K96" s="217">
        <v>4.3528492478909685E-2</v>
      </c>
      <c r="L96" s="252">
        <v>5.0814047697557603E-2</v>
      </c>
      <c r="M96" s="168">
        <f t="shared" si="80"/>
        <v>5.4215631209997804E-3</v>
      </c>
      <c r="N96" s="170">
        <f t="shared" si="81"/>
        <v>4.4115151085860902E-3</v>
      </c>
      <c r="O96" s="216">
        <v>0</v>
      </c>
      <c r="P96" s="217">
        <v>0</v>
      </c>
      <c r="Q96" s="217">
        <v>1.4488687193646562E-4</v>
      </c>
      <c r="R96" s="217">
        <v>3.1525237157987553E-3</v>
      </c>
      <c r="S96" s="217">
        <v>1.1469698902074948E-2</v>
      </c>
      <c r="T96" s="217">
        <v>2.0995488652515212E-2</v>
      </c>
      <c r="U96" s="217">
        <v>2.7918757221980155E-2</v>
      </c>
      <c r="V96" s="217">
        <v>3.5621637160963185E-2</v>
      </c>
      <c r="W96" s="217">
        <v>4.1573866932890398E-2</v>
      </c>
      <c r="X96" s="217">
        <v>4.5445270114363438E-2</v>
      </c>
      <c r="Y96" s="252">
        <v>5.0814047697557603E-2</v>
      </c>
      <c r="Z96" s="168">
        <f t="shared" si="82"/>
        <v>2.0332864284362168E-2</v>
      </c>
      <c r="AA96" s="170">
        <f t="shared" si="83"/>
        <v>1.6933925233989688E-2</v>
      </c>
      <c r="AB96" s="795">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796">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069">
        <f t="shared" si="84"/>
        <v>0</v>
      </c>
      <c r="AE96" s="784">
        <f t="shared" si="90"/>
        <v>5.4215631209997804E-3</v>
      </c>
      <c r="AF96" s="784">
        <f t="shared" si="91"/>
        <v>2.0332864284362168E-2</v>
      </c>
      <c r="AG96" s="784">
        <f t="shared" si="92"/>
        <v>2.5754427405361949E-2</v>
      </c>
      <c r="AH96" s="1015">
        <f t="shared" si="88"/>
        <v>0.21050994594704275</v>
      </c>
      <c r="AI96" s="784">
        <f t="shared" si="89"/>
        <v>0.78949005405295725</v>
      </c>
      <c r="AJ96" s="1012"/>
      <c r="AK96" s="1014"/>
      <c r="AL96" s="1014"/>
      <c r="AM96" s="1014"/>
      <c r="AN96" s="1012"/>
      <c r="AO96" s="1014"/>
      <c r="AP96" s="1012"/>
      <c r="AQ96" s="1012"/>
      <c r="AR96" s="1012"/>
      <c r="AS96" s="1012"/>
    </row>
    <row r="97" spans="1:45" x14ac:dyDescent="0.2">
      <c r="A97" s="202">
        <v>2028</v>
      </c>
      <c r="B97" s="216">
        <v>0</v>
      </c>
      <c r="C97" s="217">
        <v>3.3357222013799618E-4</v>
      </c>
      <c r="D97" s="217">
        <v>5.1221967367782846E-2</v>
      </c>
      <c r="E97" s="217">
        <v>0.10524313281926111</v>
      </c>
      <c r="F97" s="217">
        <v>0.12318005632641582</v>
      </c>
      <c r="G97" s="217">
        <v>0.13390208176918975</v>
      </c>
      <c r="H97" s="217">
        <v>0.13741318626794977</v>
      </c>
      <c r="I97" s="217">
        <v>0.13689899091337471</v>
      </c>
      <c r="J97" s="217">
        <v>0.14046721500421042</v>
      </c>
      <c r="K97" s="217">
        <v>0.13932566655841638</v>
      </c>
      <c r="L97" s="252">
        <v>0.13828078452513429</v>
      </c>
      <c r="M97" s="168">
        <f t="shared" si="80"/>
        <v>2.9838926511089867E-2</v>
      </c>
      <c r="N97" s="170">
        <f t="shared" si="81"/>
        <v>2.8362938347278474E-2</v>
      </c>
      <c r="O97" s="216">
        <v>0</v>
      </c>
      <c r="P97" s="217">
        <v>9.1656680573451075E-4</v>
      </c>
      <c r="Q97" s="217">
        <v>6.9755347511830976E-2</v>
      </c>
      <c r="R97" s="217">
        <v>0.11089290130860675</v>
      </c>
      <c r="S97" s="217">
        <v>0.12469385828493826</v>
      </c>
      <c r="T97" s="217">
        <v>0.13424825855272107</v>
      </c>
      <c r="U97" s="217">
        <v>0.1372219196307724</v>
      </c>
      <c r="V97" s="217">
        <v>0.13893105157690674</v>
      </c>
      <c r="W97" s="217">
        <v>0.1381739857688358</v>
      </c>
      <c r="X97" s="217">
        <v>0.13932566655841638</v>
      </c>
      <c r="Y97" s="252">
        <v>0.13815116090638516</v>
      </c>
      <c r="Z97" s="168">
        <f t="shared" si="82"/>
        <v>0.10157416489018745</v>
      </c>
      <c r="AA97" s="170">
        <f t="shared" si="83"/>
        <v>9.4727205385934751E-2</v>
      </c>
      <c r="AB97" s="795">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796">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069">
        <f t="shared" si="84"/>
        <v>0</v>
      </c>
      <c r="AE97" s="784">
        <f t="shared" si="90"/>
        <v>2.9838926511089867E-2</v>
      </c>
      <c r="AF97" s="784">
        <f t="shared" si="91"/>
        <v>0.10157416489018745</v>
      </c>
      <c r="AG97" s="784">
        <f t="shared" si="92"/>
        <v>0.13141309140127733</v>
      </c>
      <c r="AH97" s="1015">
        <f t="shared" si="88"/>
        <v>0.22706205441872615</v>
      </c>
      <c r="AI97" s="784">
        <f t="shared" si="89"/>
        <v>0.77293794558127371</v>
      </c>
      <c r="AJ97" s="1012"/>
      <c r="AK97" s="1014"/>
      <c r="AL97" s="1014"/>
      <c r="AM97" s="1014"/>
      <c r="AN97" s="1012"/>
      <c r="AO97" s="1014"/>
      <c r="AP97" s="1012"/>
      <c r="AQ97" s="1012"/>
      <c r="AR97" s="1012"/>
      <c r="AS97" s="1012"/>
    </row>
    <row r="98" spans="1:45" x14ac:dyDescent="0.2">
      <c r="A98" s="202">
        <v>2029</v>
      </c>
      <c r="B98" s="216">
        <v>0</v>
      </c>
      <c r="C98" s="217">
        <v>3.7382222627938295E-3</v>
      </c>
      <c r="D98" s="217">
        <v>0.1435518067394487</v>
      </c>
      <c r="E98" s="217">
        <v>0.22684659131812893</v>
      </c>
      <c r="F98" s="217">
        <v>0.25397939723339374</v>
      </c>
      <c r="G98" s="217">
        <v>0.26127333569738576</v>
      </c>
      <c r="H98" s="217">
        <v>0.26487198409049301</v>
      </c>
      <c r="I98" s="217">
        <v>0.25826147808017952</v>
      </c>
      <c r="J98" s="217">
        <v>0.26296316985883461</v>
      </c>
      <c r="K98" s="217">
        <v>0.26006113953706811</v>
      </c>
      <c r="L98" s="252">
        <v>0.25460697661679144</v>
      </c>
      <c r="M98" s="168">
        <f t="shared" si="80"/>
        <v>5.8317181084617094E-2</v>
      </c>
      <c r="N98" s="170">
        <f t="shared" si="81"/>
        <v>5.6325154136897301E-2</v>
      </c>
      <c r="O98" s="216">
        <v>0</v>
      </c>
      <c r="P98" s="217">
        <v>7.7826411892783186E-3</v>
      </c>
      <c r="Q98" s="217">
        <v>0.17300879297247176</v>
      </c>
      <c r="R98" s="217">
        <v>0.23688664714532662</v>
      </c>
      <c r="S98" s="217">
        <v>0.26121954924608592</v>
      </c>
      <c r="T98" s="217">
        <v>0.26631243698788665</v>
      </c>
      <c r="U98" s="217">
        <v>0.25953353229296677</v>
      </c>
      <c r="V98" s="217">
        <v>0.26111693361611815</v>
      </c>
      <c r="W98" s="217">
        <v>0.2589944883621691</v>
      </c>
      <c r="X98" s="217">
        <v>0.26006113953706811</v>
      </c>
      <c r="Y98" s="252">
        <v>0.25705169489012508</v>
      </c>
      <c r="Z98" s="168">
        <f t="shared" si="82"/>
        <v>0.19743562756141747</v>
      </c>
      <c r="AA98" s="170">
        <f t="shared" si="83"/>
        <v>0.1865057493175159</v>
      </c>
      <c r="AB98" s="795">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796">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069">
        <f t="shared" si="84"/>
        <v>0</v>
      </c>
      <c r="AE98" s="784">
        <f t="shared" si="90"/>
        <v>5.8317181084617094E-2</v>
      </c>
      <c r="AF98" s="784">
        <f t="shared" si="91"/>
        <v>0.19743562756141747</v>
      </c>
      <c r="AG98" s="784">
        <f t="shared" si="92"/>
        <v>0.25575280864603456</v>
      </c>
      <c r="AH98" s="1015">
        <f t="shared" si="88"/>
        <v>0.22802166433029825</v>
      </c>
      <c r="AI98" s="784">
        <f t="shared" si="89"/>
        <v>0.77197833566970175</v>
      </c>
      <c r="AJ98" s="1012"/>
      <c r="AK98" s="1014"/>
      <c r="AL98" s="1014"/>
      <c r="AM98" s="1014"/>
      <c r="AN98" s="1012"/>
      <c r="AO98" s="1014"/>
      <c r="AP98" s="1012"/>
      <c r="AQ98" s="1012"/>
      <c r="AR98" s="1012"/>
      <c r="AS98" s="1012"/>
    </row>
    <row r="99" spans="1:45" ht="13.5" thickBot="1" x14ac:dyDescent="0.25">
      <c r="A99" s="200">
        <v>2030</v>
      </c>
      <c r="B99" s="218">
        <v>0</v>
      </c>
      <c r="C99" s="219">
        <v>3.7205426863197222E-2</v>
      </c>
      <c r="D99" s="219">
        <v>0.33261580900128296</v>
      </c>
      <c r="E99" s="219">
        <v>0.38702642720694674</v>
      </c>
      <c r="F99" s="219">
        <v>0.39991197957292002</v>
      </c>
      <c r="G99" s="219">
        <v>0.40013410227442536</v>
      </c>
      <c r="H99" s="219">
        <v>0.39566986372934337</v>
      </c>
      <c r="I99" s="219">
        <v>0.38443067518640661</v>
      </c>
      <c r="J99" s="219">
        <v>0.38018758029494976</v>
      </c>
      <c r="K99" s="219">
        <v>0.37998168966232226</v>
      </c>
      <c r="L99" s="253">
        <v>0.37110072753779277</v>
      </c>
      <c r="M99" s="182">
        <f t="shared" si="80"/>
        <v>8.9171685104127998E-2</v>
      </c>
      <c r="N99" s="184">
        <f t="shared" si="81"/>
        <v>8.7808907177854487E-2</v>
      </c>
      <c r="O99" s="218">
        <v>0</v>
      </c>
      <c r="P99" s="219">
        <v>5.9491624941772479E-2</v>
      </c>
      <c r="Q99" s="219">
        <v>0.35177022359495835</v>
      </c>
      <c r="R99" s="219">
        <v>0.38972718079297708</v>
      </c>
      <c r="S99" s="219">
        <v>0.39806209622729738</v>
      </c>
      <c r="T99" s="219">
        <v>0.39217370966831966</v>
      </c>
      <c r="U99" s="219">
        <v>0.38846230290129452</v>
      </c>
      <c r="V99" s="219">
        <v>0.3855081700129207</v>
      </c>
      <c r="W99" s="219">
        <v>0.38477058031552436</v>
      </c>
      <c r="X99" s="219">
        <v>0.37578756311246247</v>
      </c>
      <c r="Y99" s="253">
        <v>0.37403392851721778</v>
      </c>
      <c r="Z99" s="182">
        <f t="shared" si="82"/>
        <v>0.29601474112325582</v>
      </c>
      <c r="AA99" s="184">
        <f t="shared" si="83"/>
        <v>0.28325136021785574</v>
      </c>
      <c r="AB99" s="795">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796">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069">
        <f t="shared" si="84"/>
        <v>0</v>
      </c>
      <c r="AE99" s="784">
        <f t="shared" si="90"/>
        <v>8.9171685104127998E-2</v>
      </c>
      <c r="AF99" s="784">
        <f t="shared" si="91"/>
        <v>0.29601474112325582</v>
      </c>
      <c r="AG99" s="784">
        <f t="shared" si="92"/>
        <v>0.3851864262273838</v>
      </c>
      <c r="AH99" s="1015">
        <f t="shared" si="88"/>
        <v>0.23150266736421299</v>
      </c>
      <c r="AI99" s="784">
        <f t="shared" si="89"/>
        <v>0.76849733263578701</v>
      </c>
      <c r="AJ99" s="1012"/>
      <c r="AK99" s="1014"/>
      <c r="AL99" s="1014"/>
      <c r="AM99" s="1014"/>
      <c r="AN99" s="1012"/>
      <c r="AO99" s="1014"/>
      <c r="AP99" s="1012"/>
      <c r="AQ99" s="1012"/>
      <c r="AR99" s="1012"/>
      <c r="AS99" s="1012"/>
    </row>
    <row r="100" spans="1:45" x14ac:dyDescent="0.2">
      <c r="A100" s="201">
        <v>2031</v>
      </c>
      <c r="B100" s="214">
        <v>0</v>
      </c>
      <c r="C100" s="215">
        <v>8.9415084440105749E-2</v>
      </c>
      <c r="D100" s="215">
        <v>0.45998855692008112</v>
      </c>
      <c r="E100" s="215">
        <v>0.48256123435272452</v>
      </c>
      <c r="F100" s="215">
        <v>0.49743875926648562</v>
      </c>
      <c r="G100" s="215">
        <v>0.48588919917236528</v>
      </c>
      <c r="H100" s="215">
        <v>0.47073729445979473</v>
      </c>
      <c r="I100" s="215">
        <v>0.4644145619190293</v>
      </c>
      <c r="J100" s="215">
        <v>0.4577563494595423</v>
      </c>
      <c r="K100" s="215">
        <v>0.45491045988219259</v>
      </c>
      <c r="L100" s="251">
        <v>0.44705699112963032</v>
      </c>
      <c r="M100" s="154">
        <f t="shared" si="80"/>
        <v>0.10825840101336133</v>
      </c>
      <c r="N100" s="156">
        <f t="shared" si="81"/>
        <v>0.10745488639495406</v>
      </c>
      <c r="O100" s="214">
        <v>0</v>
      </c>
      <c r="P100" s="215">
        <v>0.12222812623646782</v>
      </c>
      <c r="Q100" s="215">
        <v>0.47421601319515355</v>
      </c>
      <c r="R100" s="215">
        <v>0.49429719011049444</v>
      </c>
      <c r="S100" s="215">
        <v>0.47636535544878678</v>
      </c>
      <c r="T100" s="215">
        <v>0.47665763535149508</v>
      </c>
      <c r="U100" s="215">
        <v>0.46311676693764331</v>
      </c>
      <c r="V100" s="215">
        <v>0.4635257454660881</v>
      </c>
      <c r="W100" s="215">
        <v>0.4577563494595423</v>
      </c>
      <c r="X100" s="215">
        <v>0.45059074169018271</v>
      </c>
      <c r="Y100" s="251">
        <v>0.44705699112963032</v>
      </c>
      <c r="Z100" s="154">
        <f t="shared" si="82"/>
        <v>0.35725348496935805</v>
      </c>
      <c r="AA100" s="156">
        <f t="shared" si="83"/>
        <v>0.3442735493535572</v>
      </c>
      <c r="AB100" s="795">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796">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069">
        <f t="shared" si="84"/>
        <v>0</v>
      </c>
      <c r="AE100" s="784">
        <f t="shared" si="90"/>
        <v>0.10825840101336133</v>
      </c>
      <c r="AF100" s="784">
        <f t="shared" si="91"/>
        <v>0.35725348496935805</v>
      </c>
      <c r="AG100" s="784">
        <f t="shared" si="92"/>
        <v>0.46551188598271936</v>
      </c>
      <c r="AH100" s="1015">
        <f t="shared" si="88"/>
        <v>0.23255775904587767</v>
      </c>
      <c r="AI100" s="784">
        <f t="shared" si="89"/>
        <v>0.76744224095412239</v>
      </c>
      <c r="AJ100" s="1012"/>
      <c r="AK100" s="1014"/>
      <c r="AL100" s="1014"/>
      <c r="AM100" s="1014"/>
      <c r="AN100" s="1012"/>
      <c r="AO100" s="1014"/>
      <c r="AP100" s="1012"/>
      <c r="AQ100" s="1012"/>
      <c r="AR100" s="1012"/>
      <c r="AS100" s="1012"/>
    </row>
    <row r="101" spans="1:45" x14ac:dyDescent="0.2">
      <c r="A101" s="202">
        <v>2032</v>
      </c>
      <c r="B101" s="216">
        <v>0</v>
      </c>
      <c r="C101" s="217">
        <v>0.13226919068225601</v>
      </c>
      <c r="D101" s="217">
        <v>0.5113064462682384</v>
      </c>
      <c r="E101" s="217">
        <v>0.53454163919647801</v>
      </c>
      <c r="F101" s="217">
        <v>0.5263193408355531</v>
      </c>
      <c r="G101" s="217">
        <v>0.51546235342589486</v>
      </c>
      <c r="H101" s="217">
        <v>0.5090594947081718</v>
      </c>
      <c r="I101" s="217">
        <v>0.501260212289794</v>
      </c>
      <c r="J101" s="217">
        <v>0.49742482238809099</v>
      </c>
      <c r="K101" s="217">
        <v>0.48727166472472289</v>
      </c>
      <c r="L101" s="252">
        <v>0.4805312795163304</v>
      </c>
      <c r="M101" s="168">
        <f t="shared" si="80"/>
        <v>0.11666916221741601</v>
      </c>
      <c r="N101" s="170">
        <f t="shared" si="81"/>
        <v>0.11607201405491513</v>
      </c>
      <c r="O101" s="216">
        <v>0</v>
      </c>
      <c r="P101" s="217">
        <v>0.17700076954661997</v>
      </c>
      <c r="Q101" s="217">
        <v>0.53236204139751908</v>
      </c>
      <c r="R101" s="217">
        <v>0.5456322675867703</v>
      </c>
      <c r="S101" s="217">
        <v>0.53217475718134233</v>
      </c>
      <c r="T101" s="217">
        <v>0.51795603935137902</v>
      </c>
      <c r="U101" s="217">
        <v>0.50986766906390768</v>
      </c>
      <c r="V101" s="217">
        <v>0.501260212289794</v>
      </c>
      <c r="W101" s="217">
        <v>0.49194319735100073</v>
      </c>
      <c r="X101" s="217">
        <v>0.48727166472472289</v>
      </c>
      <c r="Y101" s="252">
        <v>0.4805312795163304</v>
      </c>
      <c r="Z101" s="168">
        <f t="shared" si="82"/>
        <v>0.39102949294033934</v>
      </c>
      <c r="AA101" s="170">
        <f t="shared" si="83"/>
        <v>0.37852605269454415</v>
      </c>
      <c r="AB101" s="795">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796">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069">
        <f t="shared" si="84"/>
        <v>0</v>
      </c>
      <c r="AE101" s="784">
        <f t="shared" si="90"/>
        <v>0.11666916221741601</v>
      </c>
      <c r="AF101" s="784">
        <f t="shared" si="91"/>
        <v>0.39102949294033934</v>
      </c>
      <c r="AG101" s="784">
        <f t="shared" si="92"/>
        <v>0.50769865515775536</v>
      </c>
      <c r="AH101" s="1015">
        <f t="shared" si="88"/>
        <v>0.22980002218277262</v>
      </c>
      <c r="AI101" s="784">
        <f t="shared" si="89"/>
        <v>0.77019997781722738</v>
      </c>
      <c r="AJ101" s="1012"/>
      <c r="AK101" s="1014"/>
      <c r="AL101" s="1014"/>
      <c r="AM101" s="1014"/>
      <c r="AN101" s="1012"/>
      <c r="AO101" s="1014"/>
      <c r="AP101" s="1012"/>
      <c r="AQ101" s="1012"/>
      <c r="AR101" s="1012"/>
      <c r="AS101" s="1012"/>
    </row>
    <row r="102" spans="1:45" x14ac:dyDescent="0.2">
      <c r="A102" s="202">
        <v>2033</v>
      </c>
      <c r="B102" s="216">
        <v>0</v>
      </c>
      <c r="C102" s="217">
        <v>0.16598408001153817</v>
      </c>
      <c r="D102" s="217">
        <v>0.53912759179149816</v>
      </c>
      <c r="E102" s="217">
        <v>0.54964019103171224</v>
      </c>
      <c r="F102" s="217">
        <v>0.54860150940591301</v>
      </c>
      <c r="G102" s="217">
        <v>0.53394332538119771</v>
      </c>
      <c r="H102" s="217">
        <v>0.5256050578126038</v>
      </c>
      <c r="I102" s="217">
        <v>0.51673171933220619</v>
      </c>
      <c r="J102" s="217">
        <v>0.50712695879906022</v>
      </c>
      <c r="K102" s="217">
        <v>0.50231116655124253</v>
      </c>
      <c r="L102" s="252">
        <v>0.49536263684042264</v>
      </c>
      <c r="M102" s="168">
        <f t="shared" si="80"/>
        <v>0.12060426811247997</v>
      </c>
      <c r="N102" s="170">
        <f t="shared" si="81"/>
        <v>0.1202166943379764</v>
      </c>
      <c r="O102" s="216">
        <v>0</v>
      </c>
      <c r="P102" s="217">
        <v>0.21876590679258168</v>
      </c>
      <c r="Q102" s="217">
        <v>0.55605985807022418</v>
      </c>
      <c r="R102" s="217">
        <v>0.55924912273992988</v>
      </c>
      <c r="S102" s="217">
        <v>0.53737000896921672</v>
      </c>
      <c r="T102" s="217">
        <v>0.52477202953857305</v>
      </c>
      <c r="U102" s="217">
        <v>0.51772282682510207</v>
      </c>
      <c r="V102" s="217">
        <v>0.51029975574652298</v>
      </c>
      <c r="W102" s="217">
        <v>0.50712695879906022</v>
      </c>
      <c r="X102" s="217">
        <v>0.50231116655124253</v>
      </c>
      <c r="Y102" s="252">
        <v>0.49536263684042264</v>
      </c>
      <c r="Z102" s="168">
        <f t="shared" si="82"/>
        <v>0.39818989341208993</v>
      </c>
      <c r="AA102" s="170">
        <f t="shared" si="83"/>
        <v>0.3860640159104739</v>
      </c>
      <c r="AB102" s="795">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796">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069">
        <f>AB102*AH102+AC102*AI102</f>
        <v>0</v>
      </c>
      <c r="AE102" s="784">
        <f t="shared" si="90"/>
        <v>0.12060426811247997</v>
      </c>
      <c r="AF102" s="784">
        <f t="shared" si="91"/>
        <v>0.39818989341208993</v>
      </c>
      <c r="AG102" s="784">
        <f t="shared" si="92"/>
        <v>0.51879416152456992</v>
      </c>
      <c r="AH102" s="1015">
        <f t="shared" si="88"/>
        <v>0.23247036504432247</v>
      </c>
      <c r="AI102" s="784">
        <f t="shared" si="89"/>
        <v>0.7675296349556775</v>
      </c>
      <c r="AJ102" s="1012"/>
      <c r="AK102" s="1014"/>
      <c r="AL102" s="1014"/>
      <c r="AM102" s="1014"/>
      <c r="AN102" s="1012"/>
      <c r="AO102" s="1014"/>
      <c r="AP102" s="1012"/>
      <c r="AQ102" s="1012"/>
      <c r="AR102" s="1012"/>
      <c r="AS102" s="1012"/>
    </row>
    <row r="103" spans="1:45" x14ac:dyDescent="0.2">
      <c r="A103" s="202">
        <v>2034</v>
      </c>
      <c r="B103" s="216">
        <v>0</v>
      </c>
      <c r="C103" s="217">
        <v>0.18456273482582389</v>
      </c>
      <c r="D103" s="217">
        <v>0.53473382862469698</v>
      </c>
      <c r="E103" s="217">
        <v>0.55595117229529312</v>
      </c>
      <c r="F103" s="217">
        <v>0.54353949563492476</v>
      </c>
      <c r="G103" s="217">
        <v>0.54007323766540383</v>
      </c>
      <c r="H103" s="217">
        <v>0.53163909570799939</v>
      </c>
      <c r="I103" s="217">
        <v>0.51615789989201044</v>
      </c>
      <c r="J103" s="217">
        <v>0.51294863421282089</v>
      </c>
      <c r="K103" s="217">
        <v>0.50807751312970295</v>
      </c>
      <c r="L103" s="252">
        <v>0.50104915299204766</v>
      </c>
      <c r="M103" s="168">
        <f t="shared" si="80"/>
        <v>0.12136149683217591</v>
      </c>
      <c r="N103" s="170">
        <f t="shared" si="81"/>
        <v>0.12092761855974775</v>
      </c>
      <c r="O103" s="216">
        <v>0</v>
      </c>
      <c r="P103" s="217">
        <v>0.22101103886941598</v>
      </c>
      <c r="Q103" s="217">
        <v>0.55033936716382781</v>
      </c>
      <c r="R103" s="217">
        <v>0.56567035427357559</v>
      </c>
      <c r="S103" s="217">
        <v>0.54788331480357511</v>
      </c>
      <c r="T103" s="217">
        <v>0.53079655972260509</v>
      </c>
      <c r="U103" s="217">
        <v>0.52366629873526416</v>
      </c>
      <c r="V103" s="217">
        <v>0.51615789989201044</v>
      </c>
      <c r="W103" s="217">
        <v>0.51294863421282089</v>
      </c>
      <c r="X103" s="217">
        <v>0.50409269087073616</v>
      </c>
      <c r="Y103" s="252">
        <v>0.50104915299204766</v>
      </c>
      <c r="Z103" s="168">
        <f t="shared" si="82"/>
        <v>0.40283404185075905</v>
      </c>
      <c r="AA103" s="170">
        <f t="shared" si="83"/>
        <v>0.39054113706866944</v>
      </c>
      <c r="AB103" s="795">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796">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069">
        <f t="shared" ref="AD103:AD119" si="93">AB103*AH103+AC103*AI103</f>
        <v>0</v>
      </c>
      <c r="AE103" s="784">
        <f t="shared" si="90"/>
        <v>0.12136149683217591</v>
      </c>
      <c r="AF103" s="784">
        <f t="shared" si="91"/>
        <v>0.40283404185075905</v>
      </c>
      <c r="AG103" s="784">
        <f t="shared" si="92"/>
        <v>0.524195538682935</v>
      </c>
      <c r="AH103" s="1015">
        <f t="shared" si="88"/>
        <v>0.23151951490678871</v>
      </c>
      <c r="AI103" s="784">
        <f t="shared" si="89"/>
        <v>0.76848048509321121</v>
      </c>
      <c r="AJ103" s="1012"/>
      <c r="AK103" s="1014"/>
      <c r="AL103" s="1014"/>
      <c r="AM103" s="1014"/>
      <c r="AN103" s="1012"/>
      <c r="AO103" s="1014"/>
      <c r="AP103" s="1012"/>
      <c r="AQ103" s="1012"/>
      <c r="AR103" s="1012"/>
      <c r="AS103" s="1012"/>
    </row>
    <row r="104" spans="1:45" ht="13.5" thickBot="1" x14ac:dyDescent="0.25">
      <c r="A104" s="200">
        <v>2035</v>
      </c>
      <c r="B104" s="218">
        <v>0</v>
      </c>
      <c r="C104" s="219">
        <v>0.20338440819846201</v>
      </c>
      <c r="D104" s="219">
        <v>0.55745176917432837</v>
      </c>
      <c r="E104" s="219">
        <v>0.55830525259219821</v>
      </c>
      <c r="F104" s="219">
        <v>0.54584056698386441</v>
      </c>
      <c r="G104" s="219">
        <v>0.53304344477029131</v>
      </c>
      <c r="H104" s="219">
        <v>0.52588290297513518</v>
      </c>
      <c r="I104" s="219">
        <v>0.51834263953381465</v>
      </c>
      <c r="J104" s="219">
        <v>0.51511975595631698</v>
      </c>
      <c r="K104" s="219">
        <v>0.51022798371884048</v>
      </c>
      <c r="L104" s="253">
        <v>0.50316982792779086</v>
      </c>
      <c r="M104" s="182">
        <f t="shared" si="80"/>
        <v>0.12111507313744405</v>
      </c>
      <c r="N104" s="184">
        <f t="shared" si="81"/>
        <v>0.12090431347134956</v>
      </c>
      <c r="O104" s="218">
        <v>0</v>
      </c>
      <c r="P104" s="219">
        <v>0.24195128799570248</v>
      </c>
      <c r="Q104" s="219">
        <v>0.55267039243210114</v>
      </c>
      <c r="R104" s="219">
        <v>0.56806552930261589</v>
      </c>
      <c r="S104" s="219">
        <v>0.55020272597797748</v>
      </c>
      <c r="T104" s="219">
        <v>0.53304344477029131</v>
      </c>
      <c r="U104" s="219">
        <v>0.53219055616258448</v>
      </c>
      <c r="V104" s="219">
        <v>0.52085981619099153</v>
      </c>
      <c r="W104" s="219">
        <v>0.51022798371884048</v>
      </c>
      <c r="X104" s="219">
        <v>0.50622626825372175</v>
      </c>
      <c r="Y104" s="253">
        <v>0.50316982792779086</v>
      </c>
      <c r="Z104" s="182">
        <f t="shared" si="82"/>
        <v>0.40625785629937733</v>
      </c>
      <c r="AA104" s="184">
        <f t="shared" si="83"/>
        <v>0.39410295667727063</v>
      </c>
      <c r="AB104" s="795">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796">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069">
        <f t="shared" si="93"/>
        <v>0</v>
      </c>
      <c r="AE104" s="784">
        <f t="shared" si="90"/>
        <v>0.12111507313744405</v>
      </c>
      <c r="AF104" s="784">
        <f t="shared" si="91"/>
        <v>0.40625785629937733</v>
      </c>
      <c r="AG104" s="784">
        <f t="shared" si="92"/>
        <v>0.52737292943682135</v>
      </c>
      <c r="AH104" s="1015">
        <f t="shared" si="88"/>
        <v>0.229657357018272</v>
      </c>
      <c r="AI104" s="784">
        <f t="shared" si="89"/>
        <v>0.77034264298172805</v>
      </c>
      <c r="AJ104" s="1012"/>
      <c r="AK104" s="1014"/>
      <c r="AL104" s="1014"/>
      <c r="AM104" s="1014"/>
      <c r="AN104" s="1012"/>
      <c r="AO104" s="1014"/>
      <c r="AP104" s="1012"/>
      <c r="AQ104" s="1012"/>
      <c r="AR104" s="1012"/>
      <c r="AS104" s="1012"/>
    </row>
    <row r="105" spans="1:45" x14ac:dyDescent="0.2">
      <c r="A105" s="201">
        <v>2036</v>
      </c>
      <c r="B105" s="214">
        <v>0</v>
      </c>
      <c r="C105" s="215">
        <v>0.20213682401107111</v>
      </c>
      <c r="D105" s="215">
        <v>0.53507645821494931</v>
      </c>
      <c r="E105" s="215">
        <v>0.55617787145235542</v>
      </c>
      <c r="F105" s="215">
        <v>0.53577656512294947</v>
      </c>
      <c r="G105" s="215">
        <v>0.53383820751565136</v>
      </c>
      <c r="H105" s="215">
        <v>0.52666767329777586</v>
      </c>
      <c r="I105" s="215">
        <v>0.51911673357403376</v>
      </c>
      <c r="J105" s="215">
        <v>0.51099042798143135</v>
      </c>
      <c r="K105" s="215">
        <v>0.50698292222261299</v>
      </c>
      <c r="L105" s="251">
        <v>0.50189171700471813</v>
      </c>
      <c r="M105" s="154">
        <f t="shared" si="80"/>
        <v>0.12064990925459769</v>
      </c>
      <c r="N105" s="156">
        <f t="shared" si="81"/>
        <v>0.12023131309569786</v>
      </c>
      <c r="O105" s="214">
        <v>0</v>
      </c>
      <c r="P105" s="215">
        <v>0.26136421532037574</v>
      </c>
      <c r="Q105" s="215">
        <v>0.55792211891312948</v>
      </c>
      <c r="R105" s="215">
        <v>0.54382396443521119</v>
      </c>
      <c r="S105" s="215">
        <v>0.54055245413969055</v>
      </c>
      <c r="T105" s="215">
        <v>0.53468581962094786</v>
      </c>
      <c r="U105" s="215">
        <v>0.52565961541397277</v>
      </c>
      <c r="V105" s="215">
        <v>0.51588927431223053</v>
      </c>
      <c r="W105" s="215">
        <v>0.51099042798143135</v>
      </c>
      <c r="X105" s="215">
        <v>0.50698292222261299</v>
      </c>
      <c r="Y105" s="251">
        <v>0.50189171700471813</v>
      </c>
      <c r="Z105" s="154">
        <f t="shared" si="82"/>
        <v>0.4029971826831209</v>
      </c>
      <c r="AA105" s="156">
        <f t="shared" si="83"/>
        <v>0.39084703754709577</v>
      </c>
      <c r="AB105" s="795">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796">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069">
        <f t="shared" si="93"/>
        <v>0</v>
      </c>
      <c r="AE105" s="784">
        <f t="shared" si="90"/>
        <v>0.12064990925459769</v>
      </c>
      <c r="AF105" s="784">
        <f t="shared" si="91"/>
        <v>0.4029971826831209</v>
      </c>
      <c r="AG105" s="784">
        <f t="shared" si="92"/>
        <v>0.52364709193771863</v>
      </c>
      <c r="AH105" s="1015">
        <f t="shared" si="88"/>
        <v>0.23040309229664835</v>
      </c>
      <c r="AI105" s="784">
        <f t="shared" si="89"/>
        <v>0.76959690770335154</v>
      </c>
      <c r="AJ105" s="1012"/>
      <c r="AK105" s="1014"/>
      <c r="AL105" s="1014"/>
      <c r="AM105" s="1014"/>
      <c r="AN105" s="1012"/>
      <c r="AO105" s="1014"/>
      <c r="AP105" s="1012"/>
      <c r="AQ105" s="1012"/>
      <c r="AR105" s="1012"/>
      <c r="AS105" s="1012"/>
    </row>
    <row r="106" spans="1:45" x14ac:dyDescent="0.2">
      <c r="A106" s="202">
        <v>2037</v>
      </c>
      <c r="B106" s="216">
        <v>0</v>
      </c>
      <c r="C106" s="217">
        <v>0.20131819484943683</v>
      </c>
      <c r="D106" s="217">
        <v>0.52344713291257006</v>
      </c>
      <c r="E106" s="217">
        <v>0.54410820095972523</v>
      </c>
      <c r="F106" s="217">
        <v>0.52576017108142736</v>
      </c>
      <c r="G106" s="217">
        <v>0.52547246499444455</v>
      </c>
      <c r="H106" s="217">
        <v>0.51967209736785336</v>
      </c>
      <c r="I106" s="217">
        <v>0.51365734023155296</v>
      </c>
      <c r="J106" s="217">
        <v>0.51126015192040597</v>
      </c>
      <c r="K106" s="217">
        <v>0.50725064123333841</v>
      </c>
      <c r="L106" s="252">
        <v>0.50215688640223799</v>
      </c>
      <c r="M106" s="168">
        <f t="shared" si="80"/>
        <v>0.11908678977676349</v>
      </c>
      <c r="N106" s="170">
        <f t="shared" si="81"/>
        <v>0.11846468372067517</v>
      </c>
      <c r="O106" s="216">
        <v>0</v>
      </c>
      <c r="P106" s="217">
        <v>0.25962219127132924</v>
      </c>
      <c r="Q106" s="217">
        <v>0.54545640562580522</v>
      </c>
      <c r="R106" s="217">
        <v>0.53217121428596614</v>
      </c>
      <c r="S106" s="217">
        <v>0.5309838838850488</v>
      </c>
      <c r="T106" s="217">
        <v>0.52694505063011388</v>
      </c>
      <c r="U106" s="217">
        <v>0.51939046960429813</v>
      </c>
      <c r="V106" s="217">
        <v>0.51616144674010223</v>
      </c>
      <c r="W106" s="217">
        <v>0.51126015192040597</v>
      </c>
      <c r="X106" s="217">
        <v>0.50418824385789551</v>
      </c>
      <c r="Y106" s="252">
        <v>0.50215688640223799</v>
      </c>
      <c r="Z106" s="168">
        <f t="shared" si="82"/>
        <v>0.39866426760581503</v>
      </c>
      <c r="AA106" s="170">
        <f t="shared" si="83"/>
        <v>0.38602286352433324</v>
      </c>
      <c r="AB106" s="795">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796">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069">
        <f t="shared" si="93"/>
        <v>0</v>
      </c>
      <c r="AE106" s="784">
        <f t="shared" si="90"/>
        <v>0.11908678977676349</v>
      </c>
      <c r="AF106" s="784">
        <f t="shared" si="91"/>
        <v>0.39866426760581503</v>
      </c>
      <c r="AG106" s="784">
        <f t="shared" si="92"/>
        <v>0.51775105738257854</v>
      </c>
      <c r="AH106" s="1015">
        <f t="shared" si="88"/>
        <v>0.2300078156842226</v>
      </c>
      <c r="AI106" s="784">
        <f t="shared" si="89"/>
        <v>0.76999218431577732</v>
      </c>
      <c r="AJ106" s="1012"/>
      <c r="AK106" s="1014"/>
      <c r="AL106" s="1014"/>
      <c r="AM106" s="1014"/>
      <c r="AN106" s="1012"/>
      <c r="AO106" s="1014"/>
      <c r="AP106" s="1012"/>
      <c r="AQ106" s="1012"/>
      <c r="AR106" s="1012"/>
      <c r="AS106" s="1012"/>
    </row>
    <row r="107" spans="1:45" x14ac:dyDescent="0.2">
      <c r="A107" s="202">
        <v>2038</v>
      </c>
      <c r="B107" s="216">
        <v>0</v>
      </c>
      <c r="C107" s="217">
        <v>0.21695039486000894</v>
      </c>
      <c r="D107" s="217">
        <v>0.49937586813430052</v>
      </c>
      <c r="E107" s="217">
        <v>0.5322366307994052</v>
      </c>
      <c r="F107" s="217">
        <v>0.51614353625096376</v>
      </c>
      <c r="G107" s="217">
        <v>0.51760734722004431</v>
      </c>
      <c r="H107" s="217">
        <v>0.51324259866686783</v>
      </c>
      <c r="I107" s="217">
        <v>0.51372369648870087</v>
      </c>
      <c r="J107" s="217">
        <v>0.50731649925033384</v>
      </c>
      <c r="K107" s="217">
        <v>0.50425382816324149</v>
      </c>
      <c r="L107" s="252">
        <v>0.50222228831824678</v>
      </c>
      <c r="M107" s="168">
        <f t="shared" si="80"/>
        <v>0.11767348662008284</v>
      </c>
      <c r="N107" s="170">
        <f t="shared" si="81"/>
        <v>0.11683197126440739</v>
      </c>
      <c r="O107" s="216">
        <v>0</v>
      </c>
      <c r="P107" s="217">
        <v>0.25411507554925733</v>
      </c>
      <c r="Q107" s="217">
        <v>0.52011848426053076</v>
      </c>
      <c r="R107" s="217">
        <v>0.5207643950351255</v>
      </c>
      <c r="S107" s="217">
        <v>0.52184994812314367</v>
      </c>
      <c r="T107" s="217">
        <v>0.5197388013940083</v>
      </c>
      <c r="U107" s="217">
        <v>0.51945732677808865</v>
      </c>
      <c r="V107" s="217">
        <v>0.51132636602531367</v>
      </c>
      <c r="W107" s="217">
        <v>0.50731649925033384</v>
      </c>
      <c r="X107" s="217">
        <v>0.50425382816324149</v>
      </c>
      <c r="Y107" s="252">
        <v>0.50222228831824678</v>
      </c>
      <c r="Z107" s="168">
        <f t="shared" si="82"/>
        <v>0.3952850667600209</v>
      </c>
      <c r="AA107" s="170">
        <f t="shared" si="83"/>
        <v>0.38188301282171394</v>
      </c>
      <c r="AB107" s="795">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796">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069">
        <f t="shared" si="93"/>
        <v>0</v>
      </c>
      <c r="AE107" s="784">
        <f t="shared" si="90"/>
        <v>0.11767348662008284</v>
      </c>
      <c r="AF107" s="784">
        <f t="shared" si="91"/>
        <v>0.3952850667600209</v>
      </c>
      <c r="AG107" s="784">
        <f t="shared" si="92"/>
        <v>0.51295855338010377</v>
      </c>
      <c r="AH107" s="1015">
        <f t="shared" si="88"/>
        <v>0.22940154880873279</v>
      </c>
      <c r="AI107" s="784">
        <f t="shared" si="89"/>
        <v>0.77059845119126713</v>
      </c>
      <c r="AJ107" s="1012"/>
      <c r="AK107" s="1014"/>
      <c r="AL107" s="1014"/>
      <c r="AM107" s="1014"/>
      <c r="AN107" s="1012"/>
      <c r="AO107" s="1014"/>
      <c r="AP107" s="1012"/>
      <c r="AQ107" s="1012"/>
      <c r="AR107" s="1012"/>
      <c r="AS107" s="1012"/>
    </row>
    <row r="108" spans="1:45" x14ac:dyDescent="0.2">
      <c r="A108" s="202">
        <v>2039</v>
      </c>
      <c r="B108" s="216">
        <v>0</v>
      </c>
      <c r="C108" s="217">
        <v>0.23031388880030329</v>
      </c>
      <c r="D108" s="217">
        <v>0.5041961534585141</v>
      </c>
      <c r="E108" s="217">
        <v>0.50976142704493743</v>
      </c>
      <c r="F108" s="217">
        <v>0.52181552986024571</v>
      </c>
      <c r="G108" s="217">
        <v>0.5197055218120995</v>
      </c>
      <c r="H108" s="217">
        <v>0.51942432743214539</v>
      </c>
      <c r="I108" s="217">
        <v>0.51129444211765351</v>
      </c>
      <c r="J108" s="217">
        <v>0.50728505174370675</v>
      </c>
      <c r="K108" s="217">
        <v>0.50422274211713436</v>
      </c>
      <c r="L108" s="252">
        <v>0.50137306381481817</v>
      </c>
      <c r="M108" s="168">
        <f t="shared" si="80"/>
        <v>0.11790249815827107</v>
      </c>
      <c r="N108" s="170">
        <f t="shared" si="81"/>
        <v>0.11691368551925338</v>
      </c>
      <c r="O108" s="216">
        <v>0</v>
      </c>
      <c r="P108" s="217">
        <v>0.26565872776111721</v>
      </c>
      <c r="Q108" s="217">
        <v>0.49521949030948798</v>
      </c>
      <c r="R108" s="217">
        <v>0.52931982362301322</v>
      </c>
      <c r="S108" s="217">
        <v>0.51329591400212538</v>
      </c>
      <c r="T108" s="217">
        <v>0.5197055218120995</v>
      </c>
      <c r="U108" s="217">
        <v>0.51369138976271356</v>
      </c>
      <c r="V108" s="217">
        <v>0.50728505174370675</v>
      </c>
      <c r="W108" s="217">
        <v>0.50422274211713436</v>
      </c>
      <c r="X108" s="217">
        <v>0.50422274211713436</v>
      </c>
      <c r="Y108" s="252">
        <v>0.50137306381481817</v>
      </c>
      <c r="Z108" s="168">
        <f t="shared" si="82"/>
        <v>0.39275187957441376</v>
      </c>
      <c r="AA108" s="170">
        <f t="shared" si="83"/>
        <v>0.37951484543624231</v>
      </c>
      <c r="AB108" s="795">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796">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069">
        <f t="shared" si="93"/>
        <v>0</v>
      </c>
      <c r="AE108" s="784">
        <f t="shared" si="90"/>
        <v>0.11790249815827107</v>
      </c>
      <c r="AF108" s="784">
        <f t="shared" si="91"/>
        <v>0.39275187957441376</v>
      </c>
      <c r="AG108" s="784">
        <f t="shared" si="92"/>
        <v>0.51065437773268485</v>
      </c>
      <c r="AH108" s="1015">
        <f t="shared" si="88"/>
        <v>0.23088512171727657</v>
      </c>
      <c r="AI108" s="784">
        <f t="shared" si="89"/>
        <v>0.7691148782827234</v>
      </c>
      <c r="AJ108" s="1012"/>
      <c r="AK108" s="1014"/>
      <c r="AL108" s="1014"/>
      <c r="AM108" s="1014"/>
      <c r="AN108" s="1012"/>
      <c r="AO108" s="1014"/>
      <c r="AP108" s="1012"/>
      <c r="AQ108" s="1012"/>
      <c r="AR108" s="1012"/>
      <c r="AS108" s="1012"/>
    </row>
    <row r="109" spans="1:45" ht="13.5" thickBot="1" x14ac:dyDescent="0.25">
      <c r="A109" s="200">
        <v>2040</v>
      </c>
      <c r="B109" s="218">
        <v>1.9558900153513381E-4</v>
      </c>
      <c r="C109" s="219">
        <v>0.23943631294051604</v>
      </c>
      <c r="D109" s="219">
        <v>0.46764298646103081</v>
      </c>
      <c r="E109" s="219">
        <v>0.49922839695218674</v>
      </c>
      <c r="F109" s="219">
        <v>0.51318885232772626</v>
      </c>
      <c r="G109" s="219">
        <v>0.51310414033155249</v>
      </c>
      <c r="H109" s="219">
        <v>0.51358558774381768</v>
      </c>
      <c r="I109" s="219">
        <v>0.50718114183923868</v>
      </c>
      <c r="J109" s="219">
        <v>0.50411967485415854</v>
      </c>
      <c r="K109" s="219">
        <v>0.50208893112489705</v>
      </c>
      <c r="L109" s="253">
        <v>0.50127077833483613</v>
      </c>
      <c r="M109" s="182">
        <f t="shared" si="80"/>
        <v>0.11644574387667694</v>
      </c>
      <c r="N109" s="184">
        <f t="shared" si="81"/>
        <v>0.11519861526620119</v>
      </c>
      <c r="O109" s="218">
        <v>0</v>
      </c>
      <c r="P109" s="219">
        <v>0.27109537033718312</v>
      </c>
      <c r="Q109" s="219">
        <v>0.49732236370514998</v>
      </c>
      <c r="R109" s="219">
        <v>0.50845334943895748</v>
      </c>
      <c r="S109" s="219">
        <v>0.50537817857869982</v>
      </c>
      <c r="T109" s="219">
        <v>0.51310414033155249</v>
      </c>
      <c r="U109" s="219">
        <v>0.50870139278667126</v>
      </c>
      <c r="V109" s="219">
        <v>0.50718114183923868</v>
      </c>
      <c r="W109" s="219">
        <v>0.50411967485415854</v>
      </c>
      <c r="X109" s="219">
        <v>0.50208893112489705</v>
      </c>
      <c r="Y109" s="253">
        <v>0.50127077833483613</v>
      </c>
      <c r="Z109" s="182">
        <f t="shared" si="82"/>
        <v>0.38890731322135391</v>
      </c>
      <c r="AA109" s="184">
        <f t="shared" si="83"/>
        <v>0.37532687821811656</v>
      </c>
      <c r="AB109" s="795">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796">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069">
        <f t="shared" si="93"/>
        <v>0</v>
      </c>
      <c r="AE109" s="784">
        <f t="shared" si="90"/>
        <v>0.11644574387667694</v>
      </c>
      <c r="AF109" s="784">
        <f t="shared" si="91"/>
        <v>0.38890731322135391</v>
      </c>
      <c r="AG109" s="784">
        <f t="shared" si="92"/>
        <v>0.50535305709803091</v>
      </c>
      <c r="AH109" s="1015">
        <f t="shared" si="88"/>
        <v>0.23042453635357787</v>
      </c>
      <c r="AI109" s="784">
        <f t="shared" si="89"/>
        <v>0.76957546364642204</v>
      </c>
      <c r="AJ109" s="1012"/>
      <c r="AK109" s="1014"/>
      <c r="AL109" s="1014"/>
      <c r="AM109" s="1014"/>
      <c r="AN109" s="1012"/>
      <c r="AO109" s="1014"/>
      <c r="AP109" s="1012"/>
      <c r="AQ109" s="1012"/>
      <c r="AR109" s="1012"/>
      <c r="AS109" s="1012"/>
    </row>
    <row r="110" spans="1:45" x14ac:dyDescent="0.2">
      <c r="A110" s="201">
        <v>2041</v>
      </c>
      <c r="B110" s="214">
        <v>2.8735025762060732E-4</v>
      </c>
      <c r="C110" s="215">
        <v>0.21977660776530736</v>
      </c>
      <c r="D110" s="215">
        <v>0.44435781782839739</v>
      </c>
      <c r="E110" s="215">
        <v>0.4987913420316174</v>
      </c>
      <c r="F110" s="215">
        <v>0.50519521481371532</v>
      </c>
      <c r="G110" s="215">
        <v>0.50723484955562625</v>
      </c>
      <c r="H110" s="215">
        <v>0.50851841902073647</v>
      </c>
      <c r="I110" s="215">
        <v>0.50393882601138174</v>
      </c>
      <c r="J110" s="215">
        <v>0.50190896508610727</v>
      </c>
      <c r="K110" s="215">
        <v>0.50190896508610727</v>
      </c>
      <c r="L110" s="251">
        <v>0.50109116761037154</v>
      </c>
      <c r="M110" s="154">
        <f t="shared" si="80"/>
        <v>0.11535787162473367</v>
      </c>
      <c r="N110" s="156">
        <f t="shared" si="81"/>
        <v>0.11391128965527829</v>
      </c>
      <c r="O110" s="214">
        <v>0</v>
      </c>
      <c r="P110" s="215">
        <v>0.27502308388858954</v>
      </c>
      <c r="Q110" s="215">
        <v>0.47390614086796357</v>
      </c>
      <c r="R110" s="215">
        <v>0.4987913420316174</v>
      </c>
      <c r="S110" s="215">
        <v>0.510094805615253</v>
      </c>
      <c r="T110" s="215">
        <v>0.50723484955562625</v>
      </c>
      <c r="U110" s="215">
        <v>0.50452474523820257</v>
      </c>
      <c r="V110" s="215">
        <v>0.50393882601138174</v>
      </c>
      <c r="W110" s="215">
        <v>0.50190896508610727</v>
      </c>
      <c r="X110" s="215">
        <v>0.50109116761037154</v>
      </c>
      <c r="Y110" s="251">
        <v>0.50109116761037154</v>
      </c>
      <c r="Z110" s="154">
        <f t="shared" si="82"/>
        <v>0.38620645417711486</v>
      </c>
      <c r="AA110" s="156">
        <f t="shared" si="83"/>
        <v>0.37245694777581045</v>
      </c>
      <c r="AB110" s="795">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796">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069">
        <f t="shared" si="93"/>
        <v>0</v>
      </c>
      <c r="AE110" s="784">
        <f t="shared" si="90"/>
        <v>0.11535787162473367</v>
      </c>
      <c r="AF110" s="784">
        <f t="shared" si="91"/>
        <v>0.38620645417711486</v>
      </c>
      <c r="AG110" s="784">
        <f t="shared" si="92"/>
        <v>0.50156432580184851</v>
      </c>
      <c r="AH110" s="1015">
        <f t="shared" si="88"/>
        <v>0.22999616537781387</v>
      </c>
      <c r="AI110" s="784">
        <f t="shared" si="89"/>
        <v>0.77000383462218613</v>
      </c>
      <c r="AJ110" s="1012"/>
      <c r="AK110" s="1014"/>
      <c r="AL110" s="1014"/>
      <c r="AM110" s="1014"/>
      <c r="AN110" s="1012"/>
      <c r="AO110" s="1014"/>
      <c r="AP110" s="1012"/>
      <c r="AQ110" s="1012"/>
      <c r="AR110" s="1012"/>
      <c r="AS110" s="1012"/>
    </row>
    <row r="111" spans="1:45" x14ac:dyDescent="0.2">
      <c r="A111" s="202">
        <v>2042</v>
      </c>
      <c r="B111" s="216">
        <v>5.0417441715708158E-4</v>
      </c>
      <c r="C111" s="217">
        <v>0.21513601009439831</v>
      </c>
      <c r="D111" s="217">
        <v>0.44830573900411141</v>
      </c>
      <c r="E111" s="217">
        <v>0.489688703855093</v>
      </c>
      <c r="F111" s="217">
        <v>0.49785527529585388</v>
      </c>
      <c r="G111" s="217">
        <v>0.50212487299270869</v>
      </c>
      <c r="H111" s="217">
        <v>0.50425726353769096</v>
      </c>
      <c r="I111" s="217">
        <v>0.50367180517675447</v>
      </c>
      <c r="J111" s="217">
        <v>0.50164315524718828</v>
      </c>
      <c r="K111" s="217">
        <v>0.50082584535207575</v>
      </c>
      <c r="L111" s="252">
        <v>0.50077185103478139</v>
      </c>
      <c r="M111" s="168">
        <f t="shared" si="80"/>
        <v>0.1144483871531589</v>
      </c>
      <c r="N111" s="170">
        <f t="shared" si="81"/>
        <v>0.11287551522784579</v>
      </c>
      <c r="O111" s="216">
        <v>2.8717913113662807E-4</v>
      </c>
      <c r="P111" s="217">
        <v>0.24201575574698281</v>
      </c>
      <c r="Q111" s="217">
        <v>0.45211108826057939</v>
      </c>
      <c r="R111" s="217">
        <v>0.48151251220201247</v>
      </c>
      <c r="S111" s="217">
        <v>0.50341213365368909</v>
      </c>
      <c r="T111" s="217">
        <v>0.50212487299270869</v>
      </c>
      <c r="U111" s="217">
        <v>0.50425726353769096</v>
      </c>
      <c r="V111" s="217">
        <v>0.50164315524718828</v>
      </c>
      <c r="W111" s="217">
        <v>0.50164315524718828</v>
      </c>
      <c r="X111" s="217">
        <v>0.50082584535207575</v>
      </c>
      <c r="Y111" s="252">
        <v>0.50039462958168879</v>
      </c>
      <c r="Z111" s="168">
        <f t="shared" si="82"/>
        <v>0.38329892374123309</v>
      </c>
      <c r="AA111" s="170">
        <f t="shared" si="83"/>
        <v>0.36821920479505355</v>
      </c>
      <c r="AB111" s="795">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796">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069">
        <f t="shared" si="93"/>
        <v>0</v>
      </c>
      <c r="AE111" s="784">
        <f t="shared" si="90"/>
        <v>0.1144483871531589</v>
      </c>
      <c r="AF111" s="784">
        <f t="shared" si="91"/>
        <v>0.38329892374123309</v>
      </c>
      <c r="AG111" s="784">
        <f t="shared" si="92"/>
        <v>0.497747310894392</v>
      </c>
      <c r="AH111" s="1015">
        <f t="shared" si="88"/>
        <v>0.2299327081195254</v>
      </c>
      <c r="AI111" s="784">
        <f t="shared" si="89"/>
        <v>0.77006729188047462</v>
      </c>
      <c r="AJ111" s="1012"/>
      <c r="AK111" s="1014"/>
      <c r="AL111" s="1014"/>
      <c r="AM111" s="1014"/>
      <c r="AN111" s="1012"/>
      <c r="AO111" s="1014"/>
      <c r="AP111" s="1012"/>
      <c r="AQ111" s="1012"/>
      <c r="AR111" s="1012"/>
      <c r="AS111" s="1012"/>
    </row>
    <row r="112" spans="1:45" x14ac:dyDescent="0.2">
      <c r="A112" s="202">
        <v>2043</v>
      </c>
      <c r="B112" s="216">
        <v>5.0381192238621835E-4</v>
      </c>
      <c r="C112" s="217">
        <v>0.19630016584300747</v>
      </c>
      <c r="D112" s="217">
        <v>0.42718737437370424</v>
      </c>
      <c r="E112" s="217">
        <v>0.48118564094854605</v>
      </c>
      <c r="F112" s="217">
        <v>0.49120942763296638</v>
      </c>
      <c r="G112" s="217">
        <v>0.50178464723512661</v>
      </c>
      <c r="H112" s="217">
        <v>0.50086945213882073</v>
      </c>
      <c r="I112" s="217">
        <v>0.50126674825477002</v>
      </c>
      <c r="J112" s="217">
        <v>0.49989442795709532</v>
      </c>
      <c r="K112" s="217">
        <v>0.49778748115947563</v>
      </c>
      <c r="L112" s="252">
        <v>0.47855686944837911</v>
      </c>
      <c r="M112" s="168">
        <f t="shared" si="80"/>
        <v>0.11320236066639851</v>
      </c>
      <c r="N112" s="170">
        <f t="shared" si="81"/>
        <v>0.11154133358243103</v>
      </c>
      <c r="O112" s="216">
        <v>2.8697265312069644E-4</v>
      </c>
      <c r="P112" s="217">
        <v>0.22018548095338666</v>
      </c>
      <c r="Q112" s="217">
        <v>0.43222720039223539</v>
      </c>
      <c r="R112" s="217">
        <v>0.47369851513559863</v>
      </c>
      <c r="S112" s="217">
        <v>0.4974612383480167</v>
      </c>
      <c r="T112" s="217">
        <v>0.49782802594836956</v>
      </c>
      <c r="U112" s="217">
        <v>0.50053913561667285</v>
      </c>
      <c r="V112" s="217">
        <v>0.49871630211112544</v>
      </c>
      <c r="W112" s="217">
        <v>0.49257447871147564</v>
      </c>
      <c r="X112" s="217">
        <v>0.48322270264868383</v>
      </c>
      <c r="Y112" s="252">
        <v>0.45886606929263574</v>
      </c>
      <c r="Z112" s="168">
        <f t="shared" si="82"/>
        <v>0.37721250137181678</v>
      </c>
      <c r="AA112" s="170">
        <f t="shared" si="83"/>
        <v>0.36268656174698566</v>
      </c>
      <c r="AB112" s="795">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796">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069">
        <f t="shared" si="93"/>
        <v>0</v>
      </c>
      <c r="AE112" s="784">
        <f t="shared" si="90"/>
        <v>0.11320236066639851</v>
      </c>
      <c r="AF112" s="784">
        <f t="shared" si="91"/>
        <v>0.37721250137181678</v>
      </c>
      <c r="AG112" s="784">
        <f t="shared" si="92"/>
        <v>0.49041486203821527</v>
      </c>
      <c r="AH112" s="1015">
        <f t="shared" si="88"/>
        <v>0.23082979213949126</v>
      </c>
      <c r="AI112" s="784">
        <f t="shared" si="89"/>
        <v>0.76917020786050883</v>
      </c>
      <c r="AJ112" s="1012"/>
      <c r="AK112" s="1014"/>
      <c r="AL112" s="1014"/>
      <c r="AM112" s="1014"/>
      <c r="AN112" s="1012"/>
      <c r="AO112" s="1014"/>
      <c r="AP112" s="1012"/>
      <c r="AQ112" s="1012"/>
      <c r="AR112" s="1012"/>
      <c r="AS112" s="1012"/>
    </row>
    <row r="113" spans="1:45" x14ac:dyDescent="0.2">
      <c r="A113" s="202">
        <v>2044</v>
      </c>
      <c r="B113" s="216">
        <v>5.0343117642444183E-4</v>
      </c>
      <c r="C113" s="217">
        <v>0.17672330493783792</v>
      </c>
      <c r="D113" s="217">
        <v>0.41717755388397232</v>
      </c>
      <c r="E113" s="217">
        <v>0.47334653375165298</v>
      </c>
      <c r="F113" s="217">
        <v>0.48528611875577038</v>
      </c>
      <c r="G113" s="217">
        <v>0.49622703768863163</v>
      </c>
      <c r="H113" s="217">
        <v>0.49493064234171819</v>
      </c>
      <c r="I113" s="217">
        <v>0.48230703662726077</v>
      </c>
      <c r="J113" s="217">
        <v>0.46028979785889074</v>
      </c>
      <c r="K113" s="217">
        <v>0.43842760655846802</v>
      </c>
      <c r="L113" s="252">
        <v>0.38886252442821501</v>
      </c>
      <c r="M113" s="168">
        <f t="shared" si="80"/>
        <v>0.10930221010065132</v>
      </c>
      <c r="N113" s="170">
        <f t="shared" si="81"/>
        <v>0.10861398058520734</v>
      </c>
      <c r="O113" s="216">
        <v>2.8675577917635129E-4</v>
      </c>
      <c r="P113" s="217">
        <v>0.22830678743324656</v>
      </c>
      <c r="Q113" s="217">
        <v>0.42292432721615253</v>
      </c>
      <c r="R113" s="217">
        <v>0.4665711618701861</v>
      </c>
      <c r="S113" s="217">
        <v>0.49095868483261468</v>
      </c>
      <c r="T113" s="217">
        <v>0.4876168506008034</v>
      </c>
      <c r="U113" s="217">
        <v>0.47778653218430189</v>
      </c>
      <c r="V113" s="217">
        <v>0.45444320837972801</v>
      </c>
      <c r="W113" s="217">
        <v>0.43302218138903181</v>
      </c>
      <c r="X113" s="217">
        <v>0.40948312679858945</v>
      </c>
      <c r="Y113" s="252">
        <v>0.37753022466489028</v>
      </c>
      <c r="Z113" s="168">
        <f t="shared" si="82"/>
        <v>0.35637639260935583</v>
      </c>
      <c r="AA113" s="170">
        <f t="shared" si="83"/>
        <v>0.34671042312300127</v>
      </c>
      <c r="AB113" s="795">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796">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069">
        <f t="shared" si="93"/>
        <v>0</v>
      </c>
      <c r="AE113" s="784">
        <f t="shared" si="90"/>
        <v>0.10930221010065132</v>
      </c>
      <c r="AF113" s="784">
        <f t="shared" si="91"/>
        <v>0.35637639260935583</v>
      </c>
      <c r="AG113" s="784">
        <f t="shared" si="92"/>
        <v>0.46567860271000716</v>
      </c>
      <c r="AH113" s="1015">
        <f t="shared" si="88"/>
        <v>0.23471598107486435</v>
      </c>
      <c r="AI113" s="784">
        <f t="shared" si="89"/>
        <v>0.76528401892513565</v>
      </c>
      <c r="AJ113" s="1012"/>
      <c r="AK113" s="1014"/>
      <c r="AL113" s="1014"/>
      <c r="AM113" s="1014"/>
      <c r="AN113" s="1012"/>
      <c r="AO113" s="1014"/>
      <c r="AP113" s="1012"/>
      <c r="AQ113" s="1012"/>
      <c r="AR113" s="1012"/>
      <c r="AS113" s="1012"/>
    </row>
    <row r="114" spans="1:45" ht="13.5" thickBot="1" x14ac:dyDescent="0.25">
      <c r="A114" s="200">
        <v>2045</v>
      </c>
      <c r="B114" s="218">
        <v>6.0448373672423929E-4</v>
      </c>
      <c r="C114" s="219">
        <v>0.18378511866164438</v>
      </c>
      <c r="D114" s="219">
        <v>0.40770608249044937</v>
      </c>
      <c r="E114" s="219">
        <v>0.46524466706661272</v>
      </c>
      <c r="F114" s="219">
        <v>0.47491865269308992</v>
      </c>
      <c r="G114" s="219">
        <v>0.46229963316959266</v>
      </c>
      <c r="H114" s="219">
        <v>0.43893464081319278</v>
      </c>
      <c r="I114" s="219">
        <v>0.40819701940752923</v>
      </c>
      <c r="J114" s="219">
        <v>0.3804319473801851</v>
      </c>
      <c r="K114" s="219">
        <v>0.36148475974920874</v>
      </c>
      <c r="L114" s="253">
        <v>0.32950214406008199</v>
      </c>
      <c r="M114" s="182">
        <f t="shared" si="80"/>
        <v>9.8787362908304061E-2</v>
      </c>
      <c r="N114" s="184">
        <f t="shared" si="81"/>
        <v>9.984464515996562E-2</v>
      </c>
      <c r="O114" s="218">
        <v>3.46377900533906E-4</v>
      </c>
      <c r="P114" s="219">
        <v>0.21285417935081291</v>
      </c>
      <c r="Q114" s="219">
        <v>0.43668654005699981</v>
      </c>
      <c r="R114" s="219">
        <v>0.47685843277373841</v>
      </c>
      <c r="S114" s="219">
        <v>0.46156827147345331</v>
      </c>
      <c r="T114" s="219">
        <v>0.43574959110778039</v>
      </c>
      <c r="U114" s="219">
        <v>0.40384424566713517</v>
      </c>
      <c r="V114" s="219">
        <v>0.37888234924867209</v>
      </c>
      <c r="W114" s="219">
        <v>0.3602353649375119</v>
      </c>
      <c r="X114" s="219">
        <v>0.34576786373490903</v>
      </c>
      <c r="Y114" s="253">
        <v>0.32656918729640166</v>
      </c>
      <c r="Z114" s="182">
        <f t="shared" si="82"/>
        <v>0.31316941263596587</v>
      </c>
      <c r="AA114" s="184">
        <f t="shared" si="83"/>
        <v>0.3092212273527889</v>
      </c>
      <c r="AB114" s="795">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796">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069">
        <f t="shared" si="93"/>
        <v>0</v>
      </c>
      <c r="AE114" s="784">
        <f t="shared" si="90"/>
        <v>9.8787362908304061E-2</v>
      </c>
      <c r="AF114" s="784">
        <f t="shared" si="91"/>
        <v>0.31316941263596587</v>
      </c>
      <c r="AG114" s="784">
        <f t="shared" si="92"/>
        <v>0.4119567755442699</v>
      </c>
      <c r="AH114" s="1015">
        <f t="shared" si="88"/>
        <v>0.23980031103454474</v>
      </c>
      <c r="AI114" s="784">
        <f t="shared" si="89"/>
        <v>0.76019968896545531</v>
      </c>
      <c r="AJ114" s="1012"/>
      <c r="AK114" s="1014"/>
      <c r="AL114" s="1014"/>
      <c r="AM114" s="1014"/>
      <c r="AN114" s="1012"/>
      <c r="AO114" s="1014"/>
      <c r="AP114" s="1012"/>
      <c r="AQ114" s="1012"/>
      <c r="AR114" s="1012"/>
      <c r="AS114" s="1012"/>
    </row>
    <row r="115" spans="1:45" x14ac:dyDescent="0.2">
      <c r="A115" s="201">
        <v>2046</v>
      </c>
      <c r="B115" s="214">
        <v>6.0414344207950421E-4</v>
      </c>
      <c r="C115" s="215">
        <v>0.18367877508471903</v>
      </c>
      <c r="D115" s="215">
        <v>0.40723716106540914</v>
      </c>
      <c r="E115" s="215">
        <v>0.45034075877842006</v>
      </c>
      <c r="F115" s="215">
        <v>0.42552935354871851</v>
      </c>
      <c r="G115" s="215">
        <v>0.39823742839700293</v>
      </c>
      <c r="H115" s="215">
        <v>0.36654995893411113</v>
      </c>
      <c r="I115" s="215">
        <v>0.35606599919340837</v>
      </c>
      <c r="J115" s="215">
        <v>0.33482728211243645</v>
      </c>
      <c r="K115" s="215">
        <v>0.32333650965110494</v>
      </c>
      <c r="L115" s="251">
        <v>0.30333756303306703</v>
      </c>
      <c r="M115" s="154">
        <f t="shared" si="80"/>
        <v>8.6625193328347047E-2</v>
      </c>
      <c r="N115" s="156">
        <f t="shared" si="81"/>
        <v>8.8452939961423879E-2</v>
      </c>
      <c r="O115" s="214">
        <v>3.4618290679388412E-4</v>
      </c>
      <c r="P115" s="215">
        <v>0.20523722523887392</v>
      </c>
      <c r="Q115" s="215">
        <v>0.4330913366319783</v>
      </c>
      <c r="R115" s="215">
        <v>0.43260775520654077</v>
      </c>
      <c r="S115" s="215">
        <v>0.40516741808103091</v>
      </c>
      <c r="T115" s="215">
        <v>0.36426336616461635</v>
      </c>
      <c r="U115" s="215">
        <v>0.33847568317449556</v>
      </c>
      <c r="V115" s="215">
        <v>0.33744884439597955</v>
      </c>
      <c r="W115" s="215">
        <v>0.32586877697288041</v>
      </c>
      <c r="X115" s="215">
        <v>0.31278280608135023</v>
      </c>
      <c r="Y115" s="251">
        <v>0.30121834403507441</v>
      </c>
      <c r="Z115" s="154">
        <f t="shared" si="82"/>
        <v>0.27080666647570123</v>
      </c>
      <c r="AA115" s="156">
        <f t="shared" si="83"/>
        <v>0.26829439803845284</v>
      </c>
      <c r="AB115" s="795">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796">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069">
        <f t="shared" si="93"/>
        <v>0</v>
      </c>
      <c r="AE115" s="784">
        <f t="shared" si="90"/>
        <v>8.6625193328347047E-2</v>
      </c>
      <c r="AF115" s="784">
        <f t="shared" si="91"/>
        <v>0.27080666647570123</v>
      </c>
      <c r="AG115" s="784">
        <f t="shared" si="92"/>
        <v>0.35743185980404829</v>
      </c>
      <c r="AH115" s="1015">
        <f t="shared" si="88"/>
        <v>0.2423544263117362</v>
      </c>
      <c r="AI115" s="784">
        <f t="shared" si="89"/>
        <v>0.7576455736882638</v>
      </c>
      <c r="AJ115" s="1012"/>
      <c r="AK115" s="1014"/>
      <c r="AL115" s="1014"/>
      <c r="AM115" s="1014"/>
      <c r="AN115" s="1012"/>
      <c r="AO115" s="1014"/>
      <c r="AP115" s="1012"/>
      <c r="AQ115" s="1012"/>
      <c r="AR115" s="1012"/>
      <c r="AS115" s="1012"/>
    </row>
    <row r="116" spans="1:45" x14ac:dyDescent="0.2">
      <c r="A116" s="202">
        <v>2047</v>
      </c>
      <c r="B116" s="216">
        <v>6.0389206531760991E-4</v>
      </c>
      <c r="C116" s="217">
        <v>0.1768305391970183</v>
      </c>
      <c r="D116" s="217">
        <v>0.39436699628842387</v>
      </c>
      <c r="E116" s="217">
        <v>0.41191438641812173</v>
      </c>
      <c r="F116" s="217">
        <v>0.3685429690947139</v>
      </c>
      <c r="G116" s="217">
        <v>0.33575108216405619</v>
      </c>
      <c r="H116" s="217">
        <v>0.31336608804475352</v>
      </c>
      <c r="I116" s="217">
        <v>0.32190676439452842</v>
      </c>
      <c r="J116" s="217">
        <v>0.30864339850345351</v>
      </c>
      <c r="K116" s="217">
        <v>0.29910735811286504</v>
      </c>
      <c r="L116" s="252">
        <v>0.28724622663964061</v>
      </c>
      <c r="M116" s="168">
        <f t="shared" si="80"/>
        <v>7.6249231334567152E-2</v>
      </c>
      <c r="N116" s="170">
        <f t="shared" si="81"/>
        <v>7.7954768857629336E-2</v>
      </c>
      <c r="O116" s="216">
        <v>3.4603886428332824E-4</v>
      </c>
      <c r="P116" s="217">
        <v>0.2051482799282637</v>
      </c>
      <c r="Q116" s="217">
        <v>0.40880974948840493</v>
      </c>
      <c r="R116" s="217">
        <v>0.39556637248979865</v>
      </c>
      <c r="S116" s="217">
        <v>0.34906501711103638</v>
      </c>
      <c r="T116" s="217">
        <v>0.31838281431284321</v>
      </c>
      <c r="U116" s="217">
        <v>0.29479620427722902</v>
      </c>
      <c r="V116" s="217">
        <v>0.31110448552825526</v>
      </c>
      <c r="W116" s="217">
        <v>0.30139419418723312</v>
      </c>
      <c r="X116" s="217">
        <v>0.29481026881281636</v>
      </c>
      <c r="Y116" s="252">
        <v>0.28724622663964061</v>
      </c>
      <c r="Z116" s="168">
        <f t="shared" si="82"/>
        <v>0.24118038674474895</v>
      </c>
      <c r="AA116" s="170">
        <f t="shared" si="83"/>
        <v>0.23875183367888098</v>
      </c>
      <c r="AB116" s="795">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796">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069">
        <f t="shared" si="93"/>
        <v>0</v>
      </c>
      <c r="AE116" s="784">
        <f t="shared" si="90"/>
        <v>7.6249231334567152E-2</v>
      </c>
      <c r="AF116" s="784">
        <f t="shared" si="91"/>
        <v>0.24118038674474895</v>
      </c>
      <c r="AG116" s="784">
        <f t="shared" si="92"/>
        <v>0.31742961807931613</v>
      </c>
      <c r="AH116" s="1015">
        <f t="shared" si="88"/>
        <v>0.24020830757990189</v>
      </c>
      <c r="AI116" s="784">
        <f t="shared" si="89"/>
        <v>0.75979169242009803</v>
      </c>
      <c r="AJ116" s="1012"/>
      <c r="AK116" s="1014"/>
      <c r="AL116" s="1014"/>
      <c r="AM116" s="1014"/>
      <c r="AN116" s="1012"/>
      <c r="AO116" s="1014"/>
      <c r="AP116" s="1012"/>
      <c r="AQ116" s="1012"/>
      <c r="AR116" s="1012"/>
      <c r="AS116" s="1012"/>
    </row>
    <row r="117" spans="1:45" x14ac:dyDescent="0.2">
      <c r="A117" s="202">
        <v>2048</v>
      </c>
      <c r="B117" s="216">
        <v>5.4696259860127728E-4</v>
      </c>
      <c r="C117" s="217">
        <v>0.17011981996177059</v>
      </c>
      <c r="D117" s="217">
        <v>0.38052248984918419</v>
      </c>
      <c r="E117" s="217">
        <v>0.36702540324598371</v>
      </c>
      <c r="F117" s="217">
        <v>0.33422881539520688</v>
      </c>
      <c r="G117" s="217">
        <v>0.30070795687539209</v>
      </c>
      <c r="H117" s="217">
        <v>0.28181493649505607</v>
      </c>
      <c r="I117" s="217">
        <v>0.30603973108931065</v>
      </c>
      <c r="J117" s="217">
        <v>0.2964494485956457</v>
      </c>
      <c r="K117" s="217">
        <v>0.28814932351388101</v>
      </c>
      <c r="L117" s="252">
        <v>0.27954060173417788</v>
      </c>
      <c r="M117" s="168">
        <f t="shared" si="80"/>
        <v>6.9902211265699052E-2</v>
      </c>
      <c r="N117" s="170">
        <f t="shared" si="81"/>
        <v>7.1171556866783628E-2</v>
      </c>
      <c r="O117" s="216">
        <v>4.1732742834439413E-4</v>
      </c>
      <c r="P117" s="217">
        <v>0.19774305131814673</v>
      </c>
      <c r="Q117" s="217">
        <v>0.38157706723073492</v>
      </c>
      <c r="R117" s="217">
        <v>0.35144208857446346</v>
      </c>
      <c r="S117" s="217">
        <v>0.30972868278966775</v>
      </c>
      <c r="T117" s="217">
        <v>0.28648307086189545</v>
      </c>
      <c r="U117" s="217">
        <v>0.2696754672583318</v>
      </c>
      <c r="V117" s="217">
        <v>0.29876801957191101</v>
      </c>
      <c r="W117" s="217">
        <v>0.29025433290093061</v>
      </c>
      <c r="X117" s="217">
        <v>0.28452628346910913</v>
      </c>
      <c r="Y117" s="252">
        <v>0.27842289123654418</v>
      </c>
      <c r="Z117" s="168">
        <f t="shared" si="82"/>
        <v>0.22183204076073268</v>
      </c>
      <c r="AA117" s="170">
        <f t="shared" si="83"/>
        <v>0.2184159216553401</v>
      </c>
      <c r="AB117" s="795">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796">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069">
        <f t="shared" si="93"/>
        <v>0</v>
      </c>
      <c r="AE117" s="784">
        <f t="shared" si="90"/>
        <v>6.9902211265699052E-2</v>
      </c>
      <c r="AF117" s="784">
        <f t="shared" si="91"/>
        <v>0.22183204076073268</v>
      </c>
      <c r="AG117" s="784">
        <f t="shared" si="92"/>
        <v>0.29173425202643172</v>
      </c>
      <c r="AH117" s="1015">
        <f t="shared" si="88"/>
        <v>0.23960920179974537</v>
      </c>
      <c r="AI117" s="784">
        <f t="shared" si="89"/>
        <v>0.76039079820025468</v>
      </c>
      <c r="AJ117" s="1012"/>
      <c r="AK117" s="1014"/>
      <c r="AL117" s="1014"/>
      <c r="AM117" s="1014"/>
      <c r="AN117" s="1012"/>
      <c r="AO117" s="1014"/>
      <c r="AP117" s="1012"/>
      <c r="AQ117" s="1012"/>
      <c r="AR117" s="1012"/>
      <c r="AS117" s="1012"/>
    </row>
    <row r="118" spans="1:45" x14ac:dyDescent="0.2">
      <c r="A118" s="202">
        <v>2049</v>
      </c>
      <c r="B118" s="216">
        <v>5.2001145579806121E-4</v>
      </c>
      <c r="C118" s="217">
        <v>0.17008586321726746</v>
      </c>
      <c r="D118" s="217">
        <v>0.36361255431997241</v>
      </c>
      <c r="E118" s="217">
        <v>0.33368274614926802</v>
      </c>
      <c r="F118" s="217">
        <v>0.30908744153485262</v>
      </c>
      <c r="G118" s="217">
        <v>0.28220127969404185</v>
      </c>
      <c r="H118" s="217">
        <v>0.26685446918386119</v>
      </c>
      <c r="I118" s="217">
        <v>0.29714750318716371</v>
      </c>
      <c r="J118" s="217">
        <v>0.28860503959714345</v>
      </c>
      <c r="K118" s="217">
        <v>0.28284938836055634</v>
      </c>
      <c r="L118" s="252">
        <v>0.27427943208119521</v>
      </c>
      <c r="M118" s="168">
        <f t="shared" si="80"/>
        <v>6.6164603747347756E-2</v>
      </c>
      <c r="N118" s="170">
        <f t="shared" si="81"/>
        <v>6.7003122779019125E-2</v>
      </c>
      <c r="O118" s="216">
        <v>4.1724856778806456E-4</v>
      </c>
      <c r="P118" s="217">
        <v>0.19742401373215407</v>
      </c>
      <c r="Q118" s="217">
        <v>0.3586000582010801</v>
      </c>
      <c r="R118" s="217">
        <v>0.32580353994367522</v>
      </c>
      <c r="S118" s="217">
        <v>0.28601279596355</v>
      </c>
      <c r="T118" s="217">
        <v>0.26929384108701238</v>
      </c>
      <c r="U118" s="217">
        <v>0.2559605091708243</v>
      </c>
      <c r="V118" s="217">
        <v>0.29081025073876055</v>
      </c>
      <c r="W118" s="217">
        <v>0.28485047531782121</v>
      </c>
      <c r="X118" s="217">
        <v>0.27959096693179486</v>
      </c>
      <c r="Y118" s="252">
        <v>0.27427943208119521</v>
      </c>
      <c r="Z118" s="168">
        <f t="shared" si="82"/>
        <v>0.21095161874462531</v>
      </c>
      <c r="AA118" s="170">
        <f t="shared" si="83"/>
        <v>0.20686959573008826</v>
      </c>
      <c r="AB118" s="795">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796">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069">
        <f t="shared" si="93"/>
        <v>0</v>
      </c>
      <c r="AE118" s="784">
        <f t="shared" si="90"/>
        <v>6.6164603747347756E-2</v>
      </c>
      <c r="AF118" s="784">
        <f t="shared" si="91"/>
        <v>0.21095161874462531</v>
      </c>
      <c r="AG118" s="784">
        <f t="shared" si="92"/>
        <v>0.2771162224919731</v>
      </c>
      <c r="AH118" s="1015">
        <f t="shared" si="88"/>
        <v>0.23876120694906003</v>
      </c>
      <c r="AI118" s="784">
        <f t="shared" si="89"/>
        <v>0.76123879305093989</v>
      </c>
      <c r="AJ118" s="1012"/>
      <c r="AK118" s="1014"/>
      <c r="AL118" s="1014"/>
      <c r="AM118" s="1014"/>
      <c r="AN118" s="1012"/>
      <c r="AO118" s="1014"/>
      <c r="AP118" s="1012"/>
      <c r="AQ118" s="1012"/>
      <c r="AR118" s="1012"/>
      <c r="AS118" s="1012"/>
    </row>
    <row r="119" spans="1:45" ht="13.5" thickBot="1" x14ac:dyDescent="0.25">
      <c r="A119" s="200">
        <v>2050</v>
      </c>
      <c r="B119" s="218">
        <v>4.9098025469851187E-4</v>
      </c>
      <c r="C119" s="219">
        <v>0.16306988673340231</v>
      </c>
      <c r="D119" s="219">
        <v>0.32204890059962388</v>
      </c>
      <c r="E119" s="219">
        <v>0.29368502720753875</v>
      </c>
      <c r="F119" s="219">
        <v>0.27638080387158409</v>
      </c>
      <c r="G119" s="219">
        <v>0.2573307881269018</v>
      </c>
      <c r="H119" s="219">
        <v>0.24797030519926117</v>
      </c>
      <c r="I119" s="219">
        <v>0.2860330560127971</v>
      </c>
      <c r="J119" s="219">
        <v>0.27885567043099441</v>
      </c>
      <c r="K119" s="219">
        <v>0.27583915411318877</v>
      </c>
      <c r="L119" s="253">
        <v>0.26961024232801351</v>
      </c>
      <c r="M119" s="182">
        <f t="shared" si="80"/>
        <v>6.1355448381039804E-2</v>
      </c>
      <c r="N119" s="184">
        <f t="shared" si="81"/>
        <v>6.1516720669018927E-2</v>
      </c>
      <c r="O119" s="218">
        <v>2.8518958925434121E-4</v>
      </c>
      <c r="P119" s="219">
        <v>0.18829663603219213</v>
      </c>
      <c r="Q119" s="219">
        <v>0.31743783977863865</v>
      </c>
      <c r="R119" s="219">
        <v>0.28809378123374341</v>
      </c>
      <c r="S119" s="219">
        <v>0.2623867293428736</v>
      </c>
      <c r="T119" s="219">
        <v>0.25191488457280958</v>
      </c>
      <c r="U119" s="219">
        <v>0.24037643389393729</v>
      </c>
      <c r="V119" s="219">
        <v>0.28225978244416583</v>
      </c>
      <c r="W119" s="219">
        <v>0.27583915411318877</v>
      </c>
      <c r="X119" s="219">
        <v>0.27323176964071033</v>
      </c>
      <c r="Y119" s="253">
        <v>0.26961024232801351</v>
      </c>
      <c r="Z119" s="182">
        <f t="shared" si="82"/>
        <v>0.19864677427878966</v>
      </c>
      <c r="AA119" s="184">
        <f t="shared" si="83"/>
        <v>0.1933600217627664</v>
      </c>
      <c r="AB119" s="797">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798">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070">
        <f t="shared" si="93"/>
        <v>0</v>
      </c>
      <c r="AE119" s="784">
        <f t="shared" si="90"/>
        <v>6.1355448381039804E-2</v>
      </c>
      <c r="AF119" s="784">
        <f t="shared" si="91"/>
        <v>0.19864677427878966</v>
      </c>
      <c r="AG119" s="784">
        <f t="shared" si="92"/>
        <v>0.26000222265982947</v>
      </c>
      <c r="AH119" s="1015">
        <f t="shared" si="88"/>
        <v>0.23598047644890099</v>
      </c>
      <c r="AI119" s="784">
        <f t="shared" si="89"/>
        <v>0.76401952355109892</v>
      </c>
      <c r="AJ119" s="1012"/>
      <c r="AK119" s="1014"/>
      <c r="AL119" s="1014"/>
      <c r="AM119" s="1014"/>
      <c r="AN119" s="1012"/>
      <c r="AO119" s="1014"/>
      <c r="AP119" s="1012"/>
      <c r="AQ119" s="1012"/>
      <c r="AR119" s="1012"/>
      <c r="AS119" s="1012"/>
    </row>
    <row r="120" spans="1:45" x14ac:dyDescent="0.2">
      <c r="B120" s="99" t="str">
        <f>"Output generated: "&amp; TEXT($P$4,"m/dd/yyyy hh:mm")</f>
        <v>Output generated: 11/04/2020 14:47</v>
      </c>
      <c r="U120" s="99" t="str">
        <f>"Output generated: "&amp; TEXT($P$5,"m/dd/yyyy hh:mm")</f>
        <v>Output generated: 11/04/2020 14:47</v>
      </c>
      <c r="AE120" s="784"/>
      <c r="AF120" s="784"/>
      <c r="AG120" s="784"/>
      <c r="AH120" s="784"/>
      <c r="AI120" s="784"/>
    </row>
    <row r="121" spans="1:45" ht="13.5" thickBot="1" x14ac:dyDescent="0.25">
      <c r="AE121" s="784"/>
      <c r="AF121" s="784"/>
      <c r="AG121" s="784"/>
      <c r="AH121" s="784"/>
      <c r="AI121" s="784"/>
    </row>
    <row r="122" spans="1:45" ht="15" x14ac:dyDescent="0.25">
      <c r="A122" s="205"/>
      <c r="B122" s="1539" t="s">
        <v>189</v>
      </c>
      <c r="C122" s="1540"/>
      <c r="D122" s="1540"/>
      <c r="E122" s="1540"/>
      <c r="F122" s="1540"/>
      <c r="G122" s="1540"/>
      <c r="H122" s="1540"/>
      <c r="I122" s="1540"/>
      <c r="J122" s="1540"/>
      <c r="K122" s="1540"/>
      <c r="L122" s="1540"/>
      <c r="M122" s="1540"/>
      <c r="N122" s="1541"/>
      <c r="O122" s="1539" t="s">
        <v>190</v>
      </c>
      <c r="P122" s="1540"/>
      <c r="Q122" s="1540"/>
      <c r="R122" s="1540"/>
      <c r="S122" s="1540"/>
      <c r="T122" s="1540"/>
      <c r="U122" s="1540"/>
      <c r="V122" s="1540"/>
      <c r="W122" s="1540"/>
      <c r="X122" s="1540"/>
      <c r="Y122" s="1540"/>
      <c r="Z122" s="1540"/>
      <c r="AA122" s="1541"/>
      <c r="AE122" s="784"/>
      <c r="AF122" s="784"/>
      <c r="AG122" s="784"/>
      <c r="AH122" s="784"/>
      <c r="AI122" s="784"/>
      <c r="AJ122" s="99"/>
      <c r="AK122" s="99"/>
      <c r="AL122" s="99"/>
      <c r="AM122" s="99"/>
    </row>
    <row r="123" spans="1:45" x14ac:dyDescent="0.2">
      <c r="A123" s="196"/>
      <c r="B123" s="1536" t="s">
        <v>121</v>
      </c>
      <c r="C123" s="1537"/>
      <c r="D123" s="1537"/>
      <c r="E123" s="1537"/>
      <c r="F123" s="1537"/>
      <c r="G123" s="1537"/>
      <c r="H123" s="1537"/>
      <c r="I123" s="1537"/>
      <c r="J123" s="1537"/>
      <c r="K123" s="1537"/>
      <c r="L123" s="1538"/>
      <c r="M123" s="254"/>
      <c r="N123" s="197"/>
      <c r="O123" s="1536" t="s">
        <v>121</v>
      </c>
      <c r="P123" s="1537"/>
      <c r="Q123" s="1537"/>
      <c r="R123" s="1537"/>
      <c r="S123" s="1537"/>
      <c r="T123" s="1537"/>
      <c r="U123" s="1537"/>
      <c r="V123" s="1537"/>
      <c r="W123" s="1537"/>
      <c r="X123" s="1537"/>
      <c r="Y123" s="1538"/>
      <c r="Z123" s="254"/>
      <c r="AA123" s="197"/>
      <c r="AE123" s="784"/>
      <c r="AF123" s="784"/>
      <c r="AG123" s="784"/>
      <c r="AH123" s="784"/>
      <c r="AI123" s="784"/>
      <c r="AJ123" s="99"/>
      <c r="AK123" s="99"/>
      <c r="AL123" s="99"/>
      <c r="AM123" s="99"/>
    </row>
    <row r="124" spans="1:45" ht="13.5" thickBot="1" x14ac:dyDescent="0.25">
      <c r="A124" s="203"/>
      <c r="B124" s="210" t="s">
        <v>28</v>
      </c>
      <c r="C124" s="211" t="s">
        <v>29</v>
      </c>
      <c r="D124" s="211" t="s">
        <v>30</v>
      </c>
      <c r="E124" s="211" t="s">
        <v>31</v>
      </c>
      <c r="F124" s="211" t="s">
        <v>32</v>
      </c>
      <c r="G124" s="211" t="s">
        <v>33</v>
      </c>
      <c r="H124" s="211" t="s">
        <v>34</v>
      </c>
      <c r="I124" s="211" t="s">
        <v>35</v>
      </c>
      <c r="J124" s="211" t="s">
        <v>36</v>
      </c>
      <c r="K124" s="211" t="s">
        <v>37</v>
      </c>
      <c r="L124" s="249" t="s">
        <v>38</v>
      </c>
      <c r="M124" s="255" t="s">
        <v>122</v>
      </c>
      <c r="N124" s="204" t="s">
        <v>123</v>
      </c>
      <c r="O124" s="210" t="s">
        <v>28</v>
      </c>
      <c r="P124" s="211" t="s">
        <v>29</v>
      </c>
      <c r="Q124" s="211" t="s">
        <v>30</v>
      </c>
      <c r="R124" s="211" t="s">
        <v>31</v>
      </c>
      <c r="S124" s="211" t="s">
        <v>32</v>
      </c>
      <c r="T124" s="211" t="s">
        <v>33</v>
      </c>
      <c r="U124" s="211" t="s">
        <v>34</v>
      </c>
      <c r="V124" s="211" t="s">
        <v>35</v>
      </c>
      <c r="W124" s="211" t="s">
        <v>36</v>
      </c>
      <c r="X124" s="211" t="s">
        <v>37</v>
      </c>
      <c r="Y124" s="249" t="s">
        <v>38</v>
      </c>
      <c r="Z124" s="255" t="s">
        <v>122</v>
      </c>
      <c r="AA124" s="204" t="s">
        <v>123</v>
      </c>
      <c r="AC124" s="750" t="s">
        <v>267</v>
      </c>
      <c r="AD124" s="106" t="b">
        <f>INDEX(TECH_OPT_FUEL2_Cls1,MATCH(RIGHT(O122),TECH_OPT_ROWS_Cls1,0))&lt;&gt;"N/A"</f>
        <v>0</v>
      </c>
      <c r="AE124" s="784"/>
      <c r="AF124" s="784"/>
      <c r="AG124" s="784"/>
      <c r="AH124" s="784"/>
      <c r="AI124" s="784"/>
      <c r="AJ124" s="99"/>
      <c r="AK124" s="99"/>
      <c r="AL124" s="99"/>
      <c r="AM124" s="99"/>
    </row>
    <row r="125" spans="1:45" ht="14.25" thickTop="1" thickBot="1" x14ac:dyDescent="0.25">
      <c r="A125" s="220" t="s">
        <v>124</v>
      </c>
      <c r="B125" s="212">
        <f t="array" ref="B125:L125">TRANSPOSE(Cls1CentTruckShr)</f>
        <v>7.9460669190030697E-3</v>
      </c>
      <c r="C125" s="213">
        <v>4.9615201402207001E-3</v>
      </c>
      <c r="D125" s="213">
        <v>9.2815995818941767E-3</v>
      </c>
      <c r="E125" s="213">
        <v>3.0833513121077051E-2</v>
      </c>
      <c r="F125" s="213">
        <v>4.3269302277925595E-2</v>
      </c>
      <c r="G125" s="213">
        <v>2.8144935330937017E-2</v>
      </c>
      <c r="H125" s="213">
        <v>6.8990329765143715E-2</v>
      </c>
      <c r="I125" s="213">
        <v>2.4926184998997059E-2</v>
      </c>
      <c r="J125" s="213">
        <v>7.8890239376675012E-3</v>
      </c>
      <c r="K125" s="213">
        <v>3.6046105934191604E-3</v>
      </c>
      <c r="L125" s="250">
        <v>7.5162351043371062E-3</v>
      </c>
      <c r="M125" s="257"/>
      <c r="N125" s="224"/>
      <c r="O125" s="212">
        <f t="array" ref="O125:Y125">TRANSPOSE(Cls1NCentTruckShr)</f>
        <v>1.2963682068270432E-2</v>
      </c>
      <c r="P125" s="213">
        <v>2.3837141813212878E-2</v>
      </c>
      <c r="Q125" s="213">
        <v>2.5768680683356839E-2</v>
      </c>
      <c r="R125" s="213">
        <v>5.7965433078982248E-2</v>
      </c>
      <c r="S125" s="213">
        <v>0.10312619102844889</v>
      </c>
      <c r="T125" s="213">
        <v>0.18550667796975542</v>
      </c>
      <c r="U125" s="213">
        <v>0.21310728355070049</v>
      </c>
      <c r="V125" s="213">
        <v>7.3364250696428643E-2</v>
      </c>
      <c r="W125" s="213">
        <v>1.9856733825595378E-2</v>
      </c>
      <c r="X125" s="213">
        <v>2.1261216059795113E-2</v>
      </c>
      <c r="Y125" s="250">
        <v>2.5879387454831333E-2</v>
      </c>
      <c r="Z125" s="257"/>
      <c r="AA125" s="224">
        <f>SUM(O125:Y125)</f>
        <v>0.76263667822937764</v>
      </c>
      <c r="AB125" s="783"/>
      <c r="AC125" s="750" t="s">
        <v>268</v>
      </c>
      <c r="AD125" s="106">
        <f>MATCH(RIGHT(O122),TECH_OPT_ROWS_Cls1,0)</f>
        <v>3</v>
      </c>
      <c r="AE125" s="784"/>
      <c r="AF125" s="784"/>
      <c r="AG125" s="784"/>
      <c r="AH125" s="784"/>
      <c r="AI125" s="784"/>
      <c r="AJ125" s="99"/>
      <c r="AK125" s="99"/>
      <c r="AL125" s="99"/>
      <c r="AM125" s="99"/>
    </row>
    <row r="126" spans="1:45" x14ac:dyDescent="0.2">
      <c r="A126" s="203" t="s">
        <v>125</v>
      </c>
      <c r="B126" s="785">
        <f t="array" ref="B126:L126">TRANSPOSE(Cls1CentVMTShr)</f>
        <v>8.9762242961142352E-4</v>
      </c>
      <c r="C126" s="786">
        <v>1.2044238150123706E-3</v>
      </c>
      <c r="D126" s="786">
        <v>4.1499109643594731E-3</v>
      </c>
      <c r="E126" s="786">
        <v>1.9575808105519295E-2</v>
      </c>
      <c r="F126" s="786">
        <v>3.4523467949689302E-2</v>
      </c>
      <c r="G126" s="786">
        <v>2.7311948935134379E-2</v>
      </c>
      <c r="H126" s="786">
        <v>7.6478458482655817E-2</v>
      </c>
      <c r="I126" s="786">
        <v>3.2480526319280681E-2</v>
      </c>
      <c r="J126" s="786">
        <v>1.1772940427842455E-2</v>
      </c>
      <c r="K126" s="786">
        <v>6.0339283082965706E-3</v>
      </c>
      <c r="L126" s="787">
        <v>1.5952440951210019E-2</v>
      </c>
      <c r="M126" s="258"/>
      <c r="N126" s="206"/>
      <c r="O126" s="785">
        <f t="array" ref="O126:Y126">TRANSPOSE(Cls1NCentVMTShr)</f>
        <v>1.3589913425833078E-3</v>
      </c>
      <c r="P126" s="786">
        <v>5.8692629772239642E-3</v>
      </c>
      <c r="Q126" s="786">
        <v>1.2100393581509007E-2</v>
      </c>
      <c r="R126" s="786">
        <v>3.6555003327388577E-2</v>
      </c>
      <c r="S126" s="786">
        <v>8.3148735051829181E-2</v>
      </c>
      <c r="T126" s="786">
        <v>0.18151138394047112</v>
      </c>
      <c r="U126" s="786">
        <v>0.2383386372324876</v>
      </c>
      <c r="V126" s="786">
        <v>9.5602564448196578E-2</v>
      </c>
      <c r="W126" s="786">
        <v>2.9193025028929166E-2</v>
      </c>
      <c r="X126" s="786">
        <v>3.5209492159336005E-2</v>
      </c>
      <c r="Y126" s="787">
        <v>5.0731034221433824E-2</v>
      </c>
      <c r="Z126" s="258">
        <f>SUM(O126:Y126)</f>
        <v>0.76961852331138836</v>
      </c>
      <c r="AA126" s="206"/>
      <c r="AB126" s="1552" t="str">
        <f>"% of miles on f2 for Tech "&amp; RIGHT(O122)&amp;" adopters"</f>
        <v>% of miles on f2 for Tech B adopters</v>
      </c>
      <c r="AC126" s="1553"/>
      <c r="AD126" s="1554"/>
      <c r="AE126" s="784" t="s">
        <v>302</v>
      </c>
      <c r="AF126" s="784"/>
      <c r="AG126" s="784"/>
      <c r="AH126" s="1015" t="s">
        <v>305</v>
      </c>
      <c r="AI126" s="784"/>
      <c r="AJ126" s="99"/>
      <c r="AK126" s="99"/>
      <c r="AL126" s="99"/>
      <c r="AM126" s="99"/>
    </row>
    <row r="127" spans="1:45" ht="13.5" thickBot="1" x14ac:dyDescent="0.25">
      <c r="A127" s="789" t="s">
        <v>266</v>
      </c>
      <c r="B127" s="780">
        <f t="array" ref="B127:L127">TRANSPOSE(Cls1CentVMT/OPDAYS_Cls1)</f>
        <v>51.642967609234425</v>
      </c>
      <c r="C127" s="781">
        <v>110.97733417848234</v>
      </c>
      <c r="D127" s="781">
        <v>204.40224583551472</v>
      </c>
      <c r="E127" s="781">
        <v>290.24610572847212</v>
      </c>
      <c r="F127" s="781">
        <v>364.75750419264841</v>
      </c>
      <c r="G127" s="781">
        <v>443.63126889109378</v>
      </c>
      <c r="H127" s="781">
        <v>506.78134229373978</v>
      </c>
      <c r="I127" s="781">
        <v>595.71283413609137</v>
      </c>
      <c r="J127" s="781">
        <v>682.23089916089702</v>
      </c>
      <c r="K127" s="781">
        <v>765.26438827532684</v>
      </c>
      <c r="L127" s="782">
        <v>970.27871027310334</v>
      </c>
      <c r="M127" s="778"/>
      <c r="N127" s="779"/>
      <c r="O127" s="780">
        <f t="array" ref="O127:Y127">TRANSPOSE(Cls1NCentVMT/OPDAYS_Cls1)</f>
        <v>47.924548633512046</v>
      </c>
      <c r="P127" s="781">
        <v>112.56389213862748</v>
      </c>
      <c r="Q127" s="781">
        <v>214.67280220238027</v>
      </c>
      <c r="R127" s="781">
        <v>288.30186744262801</v>
      </c>
      <c r="S127" s="781">
        <v>368.60089210549245</v>
      </c>
      <c r="T127" s="781">
        <v>447.31558789932524</v>
      </c>
      <c r="U127" s="781">
        <v>511.28831950097862</v>
      </c>
      <c r="V127" s="781">
        <v>595.73726658362273</v>
      </c>
      <c r="W127" s="781">
        <v>672.11099195240695</v>
      </c>
      <c r="X127" s="781">
        <v>757.0793017898726</v>
      </c>
      <c r="Y127" s="782">
        <v>896.16800791754974</v>
      </c>
      <c r="Z127" s="790"/>
      <c r="AA127" s="779"/>
      <c r="AB127" s="792" t="s">
        <v>186</v>
      </c>
      <c r="AC127" s="793" t="s">
        <v>15</v>
      </c>
      <c r="AD127" s="794" t="s">
        <v>18</v>
      </c>
      <c r="AE127" s="784" t="s">
        <v>186</v>
      </c>
      <c r="AF127" s="784" t="s">
        <v>15</v>
      </c>
      <c r="AG127" s="784" t="s">
        <v>18</v>
      </c>
      <c r="AH127" s="1015" t="s">
        <v>186</v>
      </c>
      <c r="AI127" s="784" t="s">
        <v>15</v>
      </c>
      <c r="AJ127" s="99"/>
      <c r="AK127" s="99"/>
      <c r="AL127" s="99"/>
      <c r="AM127" s="99"/>
    </row>
    <row r="128" spans="1:45" ht="13.5" thickTop="1" x14ac:dyDescent="0.2">
      <c r="A128" s="788">
        <v>2007</v>
      </c>
      <c r="B128" s="214">
        <v>0</v>
      </c>
      <c r="C128" s="215">
        <v>0</v>
      </c>
      <c r="D128" s="215">
        <v>0</v>
      </c>
      <c r="E128" s="215">
        <v>0</v>
      </c>
      <c r="F128" s="215">
        <v>0</v>
      </c>
      <c r="G128" s="215">
        <v>0</v>
      </c>
      <c r="H128" s="215">
        <v>0</v>
      </c>
      <c r="I128" s="215">
        <v>0</v>
      </c>
      <c r="J128" s="215">
        <v>0</v>
      </c>
      <c r="K128" s="215">
        <v>0</v>
      </c>
      <c r="L128" s="251">
        <v>0</v>
      </c>
      <c r="M128" s="154">
        <f t="shared" ref="M128:M171" si="94">SUMPRODUCT($B$126:$L$126,$B128:$L128)</f>
        <v>0</v>
      </c>
      <c r="N128" s="155">
        <f t="shared" ref="N128:N171" si="95">SUMPRODUCT($B$125:$L$125,$B128:$L128)</f>
        <v>0</v>
      </c>
      <c r="O128" s="214">
        <v>0</v>
      </c>
      <c r="P128" s="215">
        <v>0</v>
      </c>
      <c r="Q128" s="215">
        <v>0</v>
      </c>
      <c r="R128" s="215">
        <v>0</v>
      </c>
      <c r="S128" s="215">
        <v>0</v>
      </c>
      <c r="T128" s="215">
        <v>0</v>
      </c>
      <c r="U128" s="215">
        <v>0</v>
      </c>
      <c r="V128" s="215">
        <v>0</v>
      </c>
      <c r="W128" s="215">
        <v>0</v>
      </c>
      <c r="X128" s="215">
        <v>0</v>
      </c>
      <c r="Y128" s="251">
        <v>0</v>
      </c>
      <c r="Z128" s="154">
        <f t="shared" ref="Z128:Z171" si="96">SUMPRODUCT($O$126:$Y$126,O128:Y128)</f>
        <v>0</v>
      </c>
      <c r="AA128" s="156">
        <f t="shared" ref="AA128:AA171" si="97">SUMPRODUCT($O$125:$Y$125,$O128:$Y128)</f>
        <v>0</v>
      </c>
      <c r="AB128" s="795">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796">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069">
        <f t="shared" ref="AD128:AD153" si="98">AB128*AH128+AC128*AI128</f>
        <v>0</v>
      </c>
      <c r="AE128" s="784">
        <f t="shared" ref="AE128:AE142" si="99">SUMPRODUCT($B$74:$L$74,B128:L128)</f>
        <v>0</v>
      </c>
      <c r="AF128" s="784">
        <f t="shared" ref="AF128:AF142" si="100">SUMPRODUCT($O$74:$Y$74,O128:Y128)</f>
        <v>0</v>
      </c>
      <c r="AG128" s="784">
        <f t="shared" ref="AG128:AG142" si="101">SUM(AE128:AF128)</f>
        <v>0</v>
      </c>
      <c r="AH128" s="1015">
        <f>IF(AG128&gt;0,AE128/AG128,0)</f>
        <v>0</v>
      </c>
      <c r="AI128" s="784">
        <f>IF(AG128&gt;0,AF128/AG128,0)</f>
        <v>0</v>
      </c>
      <c r="AJ128" s="99"/>
      <c r="AK128" s="99"/>
      <c r="AL128" s="99"/>
      <c r="AM128" s="99"/>
    </row>
    <row r="129" spans="1:39" x14ac:dyDescent="0.2">
      <c r="A129" s="199">
        <v>2008</v>
      </c>
      <c r="B129" s="216">
        <v>0</v>
      </c>
      <c r="C129" s="217">
        <v>0</v>
      </c>
      <c r="D129" s="217">
        <v>0</v>
      </c>
      <c r="E129" s="217">
        <v>0</v>
      </c>
      <c r="F129" s="217">
        <v>0</v>
      </c>
      <c r="G129" s="217">
        <v>0</v>
      </c>
      <c r="H129" s="217">
        <v>0</v>
      </c>
      <c r="I129" s="217">
        <v>0</v>
      </c>
      <c r="J129" s="217">
        <v>0</v>
      </c>
      <c r="K129" s="217">
        <v>0</v>
      </c>
      <c r="L129" s="252">
        <v>0</v>
      </c>
      <c r="M129" s="168">
        <f t="shared" si="94"/>
        <v>0</v>
      </c>
      <c r="N129" s="170">
        <f t="shared" si="95"/>
        <v>0</v>
      </c>
      <c r="O129" s="216">
        <v>0</v>
      </c>
      <c r="P129" s="217">
        <v>0</v>
      </c>
      <c r="Q129" s="217">
        <v>0</v>
      </c>
      <c r="R129" s="217">
        <v>0</v>
      </c>
      <c r="S129" s="217">
        <v>0</v>
      </c>
      <c r="T129" s="217">
        <v>0</v>
      </c>
      <c r="U129" s="217">
        <v>0</v>
      </c>
      <c r="V129" s="217">
        <v>0</v>
      </c>
      <c r="W129" s="217">
        <v>0</v>
      </c>
      <c r="X129" s="217">
        <v>0</v>
      </c>
      <c r="Y129" s="252">
        <v>0</v>
      </c>
      <c r="Z129" s="168">
        <f t="shared" si="96"/>
        <v>0</v>
      </c>
      <c r="AA129" s="170">
        <f t="shared" si="97"/>
        <v>0</v>
      </c>
      <c r="AB129" s="795">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796">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069">
        <f t="shared" si="98"/>
        <v>0</v>
      </c>
      <c r="AE129" s="784">
        <f t="shared" si="99"/>
        <v>0</v>
      </c>
      <c r="AF129" s="784">
        <f t="shared" si="100"/>
        <v>0</v>
      </c>
      <c r="AG129" s="784">
        <f t="shared" si="101"/>
        <v>0</v>
      </c>
      <c r="AH129" s="1015">
        <f t="shared" ref="AH129:AH171" si="102">IF(AG129&gt;0,AE129/AG129,0)</f>
        <v>0</v>
      </c>
      <c r="AI129" s="784">
        <f t="shared" ref="AI129:AI171" si="103">IF(AG129&gt;0,AF129/AG129,0)</f>
        <v>0</v>
      </c>
      <c r="AJ129" s="99"/>
      <c r="AK129" s="99"/>
      <c r="AL129" s="99"/>
      <c r="AM129" s="99"/>
    </row>
    <row r="130" spans="1:39" x14ac:dyDescent="0.2">
      <c r="A130" s="199">
        <v>2009</v>
      </c>
      <c r="B130" s="216">
        <v>0</v>
      </c>
      <c r="C130" s="217">
        <v>0</v>
      </c>
      <c r="D130" s="217">
        <v>0</v>
      </c>
      <c r="E130" s="217">
        <v>0</v>
      </c>
      <c r="F130" s="217">
        <v>0</v>
      </c>
      <c r="G130" s="217">
        <v>0</v>
      </c>
      <c r="H130" s="217">
        <v>0</v>
      </c>
      <c r="I130" s="217">
        <v>0</v>
      </c>
      <c r="J130" s="217">
        <v>0</v>
      </c>
      <c r="K130" s="217">
        <v>0</v>
      </c>
      <c r="L130" s="252">
        <v>0</v>
      </c>
      <c r="M130" s="168">
        <f t="shared" si="94"/>
        <v>0</v>
      </c>
      <c r="N130" s="170">
        <f t="shared" si="95"/>
        <v>0</v>
      </c>
      <c r="O130" s="216">
        <v>0</v>
      </c>
      <c r="P130" s="217">
        <v>0</v>
      </c>
      <c r="Q130" s="217">
        <v>0</v>
      </c>
      <c r="R130" s="217">
        <v>0</v>
      </c>
      <c r="S130" s="217">
        <v>0</v>
      </c>
      <c r="T130" s="217">
        <v>0</v>
      </c>
      <c r="U130" s="217">
        <v>0</v>
      </c>
      <c r="V130" s="217">
        <v>0</v>
      </c>
      <c r="W130" s="217">
        <v>0</v>
      </c>
      <c r="X130" s="217">
        <v>0</v>
      </c>
      <c r="Y130" s="252">
        <v>0</v>
      </c>
      <c r="Z130" s="168">
        <f t="shared" si="96"/>
        <v>0</v>
      </c>
      <c r="AA130" s="170">
        <f t="shared" si="97"/>
        <v>0</v>
      </c>
      <c r="AB130" s="795">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796">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069">
        <f t="shared" si="98"/>
        <v>0</v>
      </c>
      <c r="AE130" s="784">
        <f t="shared" si="99"/>
        <v>0</v>
      </c>
      <c r="AF130" s="784">
        <f t="shared" si="100"/>
        <v>0</v>
      </c>
      <c r="AG130" s="784">
        <f t="shared" si="101"/>
        <v>0</v>
      </c>
      <c r="AH130" s="1015">
        <f t="shared" si="102"/>
        <v>0</v>
      </c>
      <c r="AI130" s="784">
        <f t="shared" si="103"/>
        <v>0</v>
      </c>
      <c r="AJ130" s="99"/>
      <c r="AK130" s="99"/>
      <c r="AL130" s="99"/>
      <c r="AM130" s="99"/>
    </row>
    <row r="131" spans="1:39" ht="13.5" thickBot="1" x14ac:dyDescent="0.25">
      <c r="A131" s="200">
        <v>2010</v>
      </c>
      <c r="B131" s="218">
        <v>0</v>
      </c>
      <c r="C131" s="219">
        <v>0</v>
      </c>
      <c r="D131" s="219">
        <v>0</v>
      </c>
      <c r="E131" s="219">
        <v>0</v>
      </c>
      <c r="F131" s="219">
        <v>0</v>
      </c>
      <c r="G131" s="219">
        <v>0</v>
      </c>
      <c r="H131" s="219">
        <v>0</v>
      </c>
      <c r="I131" s="219">
        <v>0</v>
      </c>
      <c r="J131" s="219">
        <v>0</v>
      </c>
      <c r="K131" s="219">
        <v>0</v>
      </c>
      <c r="L131" s="253">
        <v>0</v>
      </c>
      <c r="M131" s="182">
        <f t="shared" si="94"/>
        <v>0</v>
      </c>
      <c r="N131" s="184">
        <f t="shared" si="95"/>
        <v>0</v>
      </c>
      <c r="O131" s="218">
        <v>0</v>
      </c>
      <c r="P131" s="219">
        <v>0</v>
      </c>
      <c r="Q131" s="219">
        <v>0</v>
      </c>
      <c r="R131" s="219">
        <v>0</v>
      </c>
      <c r="S131" s="219">
        <v>0</v>
      </c>
      <c r="T131" s="219">
        <v>0</v>
      </c>
      <c r="U131" s="219">
        <v>0</v>
      </c>
      <c r="V131" s="219">
        <v>0</v>
      </c>
      <c r="W131" s="219">
        <v>0</v>
      </c>
      <c r="X131" s="219">
        <v>0</v>
      </c>
      <c r="Y131" s="253">
        <v>0</v>
      </c>
      <c r="Z131" s="182">
        <f t="shared" si="96"/>
        <v>0</v>
      </c>
      <c r="AA131" s="184">
        <f t="shared" si="97"/>
        <v>0</v>
      </c>
      <c r="AB131" s="795">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796">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069">
        <f t="shared" si="98"/>
        <v>0</v>
      </c>
      <c r="AE131" s="784">
        <f t="shared" si="99"/>
        <v>0</v>
      </c>
      <c r="AF131" s="784">
        <f t="shared" si="100"/>
        <v>0</v>
      </c>
      <c r="AG131" s="784">
        <f t="shared" si="101"/>
        <v>0</v>
      </c>
      <c r="AH131" s="1015">
        <f t="shared" si="102"/>
        <v>0</v>
      </c>
      <c r="AI131" s="784">
        <f t="shared" si="103"/>
        <v>0</v>
      </c>
      <c r="AJ131" s="99"/>
      <c r="AK131" s="99"/>
      <c r="AL131" s="99"/>
      <c r="AM131" s="99"/>
    </row>
    <row r="132" spans="1:39" x14ac:dyDescent="0.2">
      <c r="A132" s="201">
        <v>2011</v>
      </c>
      <c r="B132" s="214">
        <v>0</v>
      </c>
      <c r="C132" s="215">
        <v>0</v>
      </c>
      <c r="D132" s="215">
        <v>0</v>
      </c>
      <c r="E132" s="215">
        <v>0</v>
      </c>
      <c r="F132" s="215">
        <v>0</v>
      </c>
      <c r="G132" s="215">
        <v>0</v>
      </c>
      <c r="H132" s="215">
        <v>0</v>
      </c>
      <c r="I132" s="215">
        <v>0</v>
      </c>
      <c r="J132" s="215">
        <v>0</v>
      </c>
      <c r="K132" s="215">
        <v>0</v>
      </c>
      <c r="L132" s="251">
        <v>0</v>
      </c>
      <c r="M132" s="154">
        <f t="shared" si="94"/>
        <v>0</v>
      </c>
      <c r="N132" s="156">
        <f t="shared" si="95"/>
        <v>0</v>
      </c>
      <c r="O132" s="214">
        <v>0</v>
      </c>
      <c r="P132" s="215">
        <v>0</v>
      </c>
      <c r="Q132" s="215">
        <v>0</v>
      </c>
      <c r="R132" s="215">
        <v>0</v>
      </c>
      <c r="S132" s="215">
        <v>0</v>
      </c>
      <c r="T132" s="215">
        <v>0</v>
      </c>
      <c r="U132" s="215">
        <v>0</v>
      </c>
      <c r="V132" s="215">
        <v>0</v>
      </c>
      <c r="W132" s="215">
        <v>0</v>
      </c>
      <c r="X132" s="215">
        <v>0</v>
      </c>
      <c r="Y132" s="251">
        <v>0</v>
      </c>
      <c r="Z132" s="154">
        <f t="shared" si="96"/>
        <v>0</v>
      </c>
      <c r="AA132" s="156">
        <f t="shared" si="97"/>
        <v>0</v>
      </c>
      <c r="AB132" s="795">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796">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069">
        <f t="shared" si="98"/>
        <v>0</v>
      </c>
      <c r="AE132" s="784">
        <f t="shared" si="99"/>
        <v>0</v>
      </c>
      <c r="AF132" s="784">
        <f t="shared" si="100"/>
        <v>0</v>
      </c>
      <c r="AG132" s="784">
        <f t="shared" si="101"/>
        <v>0</v>
      </c>
      <c r="AH132" s="1015">
        <f t="shared" si="102"/>
        <v>0</v>
      </c>
      <c r="AI132" s="784">
        <f t="shared" si="103"/>
        <v>0</v>
      </c>
      <c r="AJ132" s="99"/>
      <c r="AK132" s="99"/>
      <c r="AL132" s="99"/>
      <c r="AM132" s="99"/>
    </row>
    <row r="133" spans="1:39" x14ac:dyDescent="0.2">
      <c r="A133" s="202">
        <v>2012</v>
      </c>
      <c r="B133" s="216">
        <v>0</v>
      </c>
      <c r="C133" s="217">
        <v>0</v>
      </c>
      <c r="D133" s="217">
        <v>0</v>
      </c>
      <c r="E133" s="217">
        <v>0</v>
      </c>
      <c r="F133" s="217">
        <v>0</v>
      </c>
      <c r="G133" s="217">
        <v>0</v>
      </c>
      <c r="H133" s="217">
        <v>0</v>
      </c>
      <c r="I133" s="217">
        <v>0</v>
      </c>
      <c r="J133" s="217">
        <v>0</v>
      </c>
      <c r="K133" s="217">
        <v>0</v>
      </c>
      <c r="L133" s="252">
        <v>0</v>
      </c>
      <c r="M133" s="168">
        <f t="shared" si="94"/>
        <v>0</v>
      </c>
      <c r="N133" s="170">
        <f t="shared" si="95"/>
        <v>0</v>
      </c>
      <c r="O133" s="216">
        <v>0</v>
      </c>
      <c r="P133" s="217">
        <v>0</v>
      </c>
      <c r="Q133" s="217">
        <v>0</v>
      </c>
      <c r="R133" s="217">
        <v>0</v>
      </c>
      <c r="S133" s="217">
        <v>0</v>
      </c>
      <c r="T133" s="217">
        <v>0</v>
      </c>
      <c r="U133" s="217">
        <v>0</v>
      </c>
      <c r="V133" s="217">
        <v>0</v>
      </c>
      <c r="W133" s="217">
        <v>0</v>
      </c>
      <c r="X133" s="217">
        <v>0</v>
      </c>
      <c r="Y133" s="252">
        <v>0</v>
      </c>
      <c r="Z133" s="168">
        <f t="shared" si="96"/>
        <v>0</v>
      </c>
      <c r="AA133" s="170">
        <f t="shared" si="97"/>
        <v>0</v>
      </c>
      <c r="AB133" s="795">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796">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069">
        <f t="shared" si="98"/>
        <v>0</v>
      </c>
      <c r="AE133" s="784">
        <f t="shared" si="99"/>
        <v>0</v>
      </c>
      <c r="AF133" s="784">
        <f t="shared" si="100"/>
        <v>0</v>
      </c>
      <c r="AG133" s="784">
        <f t="shared" si="101"/>
        <v>0</v>
      </c>
      <c r="AH133" s="1015">
        <f t="shared" si="102"/>
        <v>0</v>
      </c>
      <c r="AI133" s="784">
        <f t="shared" si="103"/>
        <v>0</v>
      </c>
      <c r="AJ133" s="99"/>
      <c r="AK133" s="99"/>
      <c r="AL133" s="99"/>
      <c r="AM133" s="99"/>
    </row>
    <row r="134" spans="1:39" x14ac:dyDescent="0.2">
      <c r="A134" s="202">
        <v>2013</v>
      </c>
      <c r="B134" s="216">
        <v>0</v>
      </c>
      <c r="C134" s="217">
        <v>0</v>
      </c>
      <c r="D134" s="217">
        <v>0</v>
      </c>
      <c r="E134" s="217">
        <v>0</v>
      </c>
      <c r="F134" s="217">
        <v>0</v>
      </c>
      <c r="G134" s="217">
        <v>0</v>
      </c>
      <c r="H134" s="217">
        <v>0</v>
      </c>
      <c r="I134" s="217">
        <v>0</v>
      </c>
      <c r="J134" s="217">
        <v>0</v>
      </c>
      <c r="K134" s="217">
        <v>0</v>
      </c>
      <c r="L134" s="252">
        <v>0</v>
      </c>
      <c r="M134" s="168">
        <f t="shared" si="94"/>
        <v>0</v>
      </c>
      <c r="N134" s="170">
        <f t="shared" si="95"/>
        <v>0</v>
      </c>
      <c r="O134" s="216">
        <v>0</v>
      </c>
      <c r="P134" s="217">
        <v>0</v>
      </c>
      <c r="Q134" s="217">
        <v>0</v>
      </c>
      <c r="R134" s="217">
        <v>0</v>
      </c>
      <c r="S134" s="217">
        <v>0</v>
      </c>
      <c r="T134" s="217">
        <v>0</v>
      </c>
      <c r="U134" s="217">
        <v>0</v>
      </c>
      <c r="V134" s="217">
        <v>0</v>
      </c>
      <c r="W134" s="217">
        <v>0</v>
      </c>
      <c r="X134" s="217">
        <v>0</v>
      </c>
      <c r="Y134" s="252">
        <v>0</v>
      </c>
      <c r="Z134" s="168">
        <f t="shared" si="96"/>
        <v>0</v>
      </c>
      <c r="AA134" s="170">
        <f t="shared" si="97"/>
        <v>0</v>
      </c>
      <c r="AB134" s="795">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796">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069">
        <f t="shared" si="98"/>
        <v>0</v>
      </c>
      <c r="AE134" s="784">
        <f t="shared" si="99"/>
        <v>0</v>
      </c>
      <c r="AF134" s="784">
        <f t="shared" si="100"/>
        <v>0</v>
      </c>
      <c r="AG134" s="784">
        <f t="shared" si="101"/>
        <v>0</v>
      </c>
      <c r="AH134" s="1015">
        <f t="shared" si="102"/>
        <v>0</v>
      </c>
      <c r="AI134" s="784">
        <f t="shared" si="103"/>
        <v>0</v>
      </c>
      <c r="AJ134" s="99"/>
      <c r="AK134" s="99"/>
      <c r="AL134" s="99"/>
      <c r="AM134" s="99"/>
    </row>
    <row r="135" spans="1:39" x14ac:dyDescent="0.2">
      <c r="A135" s="202">
        <v>2014</v>
      </c>
      <c r="B135" s="216">
        <v>0</v>
      </c>
      <c r="C135" s="217">
        <v>0</v>
      </c>
      <c r="D135" s="217">
        <v>0</v>
      </c>
      <c r="E135" s="217">
        <v>0</v>
      </c>
      <c r="F135" s="217">
        <v>0</v>
      </c>
      <c r="G135" s="217">
        <v>0</v>
      </c>
      <c r="H135" s="217">
        <v>0</v>
      </c>
      <c r="I135" s="217">
        <v>0</v>
      </c>
      <c r="J135" s="217">
        <v>0</v>
      </c>
      <c r="K135" s="217">
        <v>0</v>
      </c>
      <c r="L135" s="252">
        <v>0</v>
      </c>
      <c r="M135" s="168">
        <f t="shared" si="94"/>
        <v>0</v>
      </c>
      <c r="N135" s="170">
        <f t="shared" si="95"/>
        <v>0</v>
      </c>
      <c r="O135" s="216">
        <v>0</v>
      </c>
      <c r="P135" s="217">
        <v>0</v>
      </c>
      <c r="Q135" s="217">
        <v>0</v>
      </c>
      <c r="R135" s="217">
        <v>0</v>
      </c>
      <c r="S135" s="217">
        <v>0</v>
      </c>
      <c r="T135" s="217">
        <v>0</v>
      </c>
      <c r="U135" s="217">
        <v>0</v>
      </c>
      <c r="V135" s="217">
        <v>0</v>
      </c>
      <c r="W135" s="217">
        <v>0</v>
      </c>
      <c r="X135" s="217">
        <v>0</v>
      </c>
      <c r="Y135" s="252">
        <v>0</v>
      </c>
      <c r="Z135" s="168">
        <f t="shared" si="96"/>
        <v>0</v>
      </c>
      <c r="AA135" s="170">
        <f t="shared" si="97"/>
        <v>0</v>
      </c>
      <c r="AB135" s="795">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796">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069">
        <f t="shared" si="98"/>
        <v>0</v>
      </c>
      <c r="AE135" s="784">
        <f t="shared" si="99"/>
        <v>0</v>
      </c>
      <c r="AF135" s="784">
        <f t="shared" si="100"/>
        <v>0</v>
      </c>
      <c r="AG135" s="784">
        <f t="shared" si="101"/>
        <v>0</v>
      </c>
      <c r="AH135" s="1015">
        <f t="shared" si="102"/>
        <v>0</v>
      </c>
      <c r="AI135" s="784">
        <f t="shared" si="103"/>
        <v>0</v>
      </c>
      <c r="AJ135" s="99"/>
      <c r="AK135" s="99"/>
      <c r="AL135" s="99"/>
      <c r="AM135" s="99"/>
    </row>
    <row r="136" spans="1:39" ht="13.5" thickBot="1" x14ac:dyDescent="0.25">
      <c r="A136" s="200">
        <v>2015</v>
      </c>
      <c r="B136" s="218">
        <v>0</v>
      </c>
      <c r="C136" s="219">
        <v>0</v>
      </c>
      <c r="D136" s="219">
        <v>0</v>
      </c>
      <c r="E136" s="219">
        <v>0</v>
      </c>
      <c r="F136" s="219">
        <v>0</v>
      </c>
      <c r="G136" s="219">
        <v>0</v>
      </c>
      <c r="H136" s="219">
        <v>0</v>
      </c>
      <c r="I136" s="219">
        <v>0</v>
      </c>
      <c r="J136" s="219">
        <v>0</v>
      </c>
      <c r="K136" s="219">
        <v>0</v>
      </c>
      <c r="L136" s="253">
        <v>0</v>
      </c>
      <c r="M136" s="182">
        <f t="shared" si="94"/>
        <v>0</v>
      </c>
      <c r="N136" s="184">
        <f t="shared" si="95"/>
        <v>0</v>
      </c>
      <c r="O136" s="218">
        <v>0</v>
      </c>
      <c r="P136" s="219">
        <v>0</v>
      </c>
      <c r="Q136" s="219">
        <v>0</v>
      </c>
      <c r="R136" s="219">
        <v>0</v>
      </c>
      <c r="S136" s="219">
        <v>0</v>
      </c>
      <c r="T136" s="219">
        <v>0</v>
      </c>
      <c r="U136" s="219">
        <v>0</v>
      </c>
      <c r="V136" s="219">
        <v>0</v>
      </c>
      <c r="W136" s="219">
        <v>0</v>
      </c>
      <c r="X136" s="219">
        <v>0</v>
      </c>
      <c r="Y136" s="253">
        <v>0</v>
      </c>
      <c r="Z136" s="182">
        <f t="shared" si="96"/>
        <v>0</v>
      </c>
      <c r="AA136" s="184">
        <f t="shared" si="97"/>
        <v>0</v>
      </c>
      <c r="AB136" s="795">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796">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069">
        <f t="shared" si="98"/>
        <v>0</v>
      </c>
      <c r="AE136" s="784">
        <f t="shared" si="99"/>
        <v>0</v>
      </c>
      <c r="AF136" s="784">
        <f t="shared" si="100"/>
        <v>0</v>
      </c>
      <c r="AG136" s="784">
        <f t="shared" si="101"/>
        <v>0</v>
      </c>
      <c r="AH136" s="1015">
        <f t="shared" si="102"/>
        <v>0</v>
      </c>
      <c r="AI136" s="784">
        <f t="shared" si="103"/>
        <v>0</v>
      </c>
      <c r="AJ136" s="99"/>
      <c r="AK136" s="99"/>
      <c r="AL136" s="99"/>
      <c r="AM136" s="99"/>
    </row>
    <row r="137" spans="1:39" x14ac:dyDescent="0.2">
      <c r="A137" s="201">
        <v>2016</v>
      </c>
      <c r="B137" s="214">
        <v>0</v>
      </c>
      <c r="C137" s="215">
        <v>0</v>
      </c>
      <c r="D137" s="215">
        <v>0</v>
      </c>
      <c r="E137" s="215">
        <v>0</v>
      </c>
      <c r="F137" s="215">
        <v>0</v>
      </c>
      <c r="G137" s="215">
        <v>0</v>
      </c>
      <c r="H137" s="215">
        <v>0</v>
      </c>
      <c r="I137" s="215">
        <v>0</v>
      </c>
      <c r="J137" s="215">
        <v>0</v>
      </c>
      <c r="K137" s="215">
        <v>0</v>
      </c>
      <c r="L137" s="251">
        <v>0</v>
      </c>
      <c r="M137" s="154">
        <f t="shared" si="94"/>
        <v>0</v>
      </c>
      <c r="N137" s="156">
        <f t="shared" si="95"/>
        <v>0</v>
      </c>
      <c r="O137" s="214">
        <v>0</v>
      </c>
      <c r="P137" s="215">
        <v>0</v>
      </c>
      <c r="Q137" s="215">
        <v>0</v>
      </c>
      <c r="R137" s="215">
        <v>0</v>
      </c>
      <c r="S137" s="215">
        <v>0</v>
      </c>
      <c r="T137" s="215">
        <v>0</v>
      </c>
      <c r="U137" s="215">
        <v>0</v>
      </c>
      <c r="V137" s="215">
        <v>0</v>
      </c>
      <c r="W137" s="215">
        <v>0</v>
      </c>
      <c r="X137" s="215">
        <v>0</v>
      </c>
      <c r="Y137" s="251">
        <v>0</v>
      </c>
      <c r="Z137" s="154">
        <f t="shared" si="96"/>
        <v>0</v>
      </c>
      <c r="AA137" s="156">
        <f t="shared" si="97"/>
        <v>0</v>
      </c>
      <c r="AB137" s="795">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796">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069">
        <f t="shared" si="98"/>
        <v>0</v>
      </c>
      <c r="AE137" s="784">
        <f t="shared" si="99"/>
        <v>0</v>
      </c>
      <c r="AF137" s="784">
        <f t="shared" si="100"/>
        <v>0</v>
      </c>
      <c r="AG137" s="784">
        <f t="shared" si="101"/>
        <v>0</v>
      </c>
      <c r="AH137" s="1015">
        <f t="shared" si="102"/>
        <v>0</v>
      </c>
      <c r="AI137" s="784">
        <f t="shared" si="103"/>
        <v>0</v>
      </c>
      <c r="AJ137" s="99"/>
      <c r="AK137" s="99"/>
      <c r="AL137" s="99"/>
      <c r="AM137" s="99"/>
    </row>
    <row r="138" spans="1:39" x14ac:dyDescent="0.2">
      <c r="A138" s="202">
        <v>2017</v>
      </c>
      <c r="B138" s="216">
        <v>0</v>
      </c>
      <c r="C138" s="217">
        <v>0</v>
      </c>
      <c r="D138" s="217">
        <v>0</v>
      </c>
      <c r="E138" s="217">
        <v>0</v>
      </c>
      <c r="F138" s="217">
        <v>0</v>
      </c>
      <c r="G138" s="217">
        <v>0</v>
      </c>
      <c r="H138" s="217">
        <v>0</v>
      </c>
      <c r="I138" s="217">
        <v>0</v>
      </c>
      <c r="J138" s="217">
        <v>0</v>
      </c>
      <c r="K138" s="217">
        <v>0</v>
      </c>
      <c r="L138" s="252">
        <v>0</v>
      </c>
      <c r="M138" s="168">
        <f t="shared" si="94"/>
        <v>0</v>
      </c>
      <c r="N138" s="170">
        <f t="shared" si="95"/>
        <v>0</v>
      </c>
      <c r="O138" s="216">
        <v>0</v>
      </c>
      <c r="P138" s="217">
        <v>0</v>
      </c>
      <c r="Q138" s="217">
        <v>0</v>
      </c>
      <c r="R138" s="217">
        <v>0</v>
      </c>
      <c r="S138" s="217">
        <v>0</v>
      </c>
      <c r="T138" s="217">
        <v>0</v>
      </c>
      <c r="U138" s="217">
        <v>0</v>
      </c>
      <c r="V138" s="217">
        <v>0</v>
      </c>
      <c r="W138" s="217">
        <v>0</v>
      </c>
      <c r="X138" s="217">
        <v>0</v>
      </c>
      <c r="Y138" s="252">
        <v>0</v>
      </c>
      <c r="Z138" s="168">
        <f t="shared" si="96"/>
        <v>0</v>
      </c>
      <c r="AA138" s="170">
        <f t="shared" si="97"/>
        <v>0</v>
      </c>
      <c r="AB138" s="795">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796">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069">
        <f t="shared" si="98"/>
        <v>0</v>
      </c>
      <c r="AE138" s="784">
        <f t="shared" si="99"/>
        <v>0</v>
      </c>
      <c r="AF138" s="784">
        <f t="shared" si="100"/>
        <v>0</v>
      </c>
      <c r="AG138" s="784">
        <f t="shared" si="101"/>
        <v>0</v>
      </c>
      <c r="AH138" s="1015">
        <f t="shared" si="102"/>
        <v>0</v>
      </c>
      <c r="AI138" s="784">
        <f t="shared" si="103"/>
        <v>0</v>
      </c>
      <c r="AJ138" s="99"/>
      <c r="AK138" s="99"/>
      <c r="AL138" s="99"/>
      <c r="AM138" s="99"/>
    </row>
    <row r="139" spans="1:39" x14ac:dyDescent="0.2">
      <c r="A139" s="202">
        <v>2018</v>
      </c>
      <c r="B139" s="216">
        <v>0</v>
      </c>
      <c r="C139" s="217">
        <v>0</v>
      </c>
      <c r="D139" s="217">
        <v>0</v>
      </c>
      <c r="E139" s="217">
        <v>0</v>
      </c>
      <c r="F139" s="217">
        <v>0</v>
      </c>
      <c r="G139" s="217">
        <v>0</v>
      </c>
      <c r="H139" s="217">
        <v>0</v>
      </c>
      <c r="I139" s="217">
        <v>0</v>
      </c>
      <c r="J139" s="217">
        <v>0</v>
      </c>
      <c r="K139" s="217">
        <v>0</v>
      </c>
      <c r="L139" s="252">
        <v>0</v>
      </c>
      <c r="M139" s="168">
        <f t="shared" si="94"/>
        <v>0</v>
      </c>
      <c r="N139" s="170">
        <f t="shared" si="95"/>
        <v>0</v>
      </c>
      <c r="O139" s="216">
        <v>0</v>
      </c>
      <c r="P139" s="217">
        <v>0</v>
      </c>
      <c r="Q139" s="217">
        <v>0</v>
      </c>
      <c r="R139" s="217">
        <v>0</v>
      </c>
      <c r="S139" s="217">
        <v>0</v>
      </c>
      <c r="T139" s="217">
        <v>0</v>
      </c>
      <c r="U139" s="217">
        <v>0</v>
      </c>
      <c r="V139" s="217">
        <v>0</v>
      </c>
      <c r="W139" s="217">
        <v>0</v>
      </c>
      <c r="X139" s="217">
        <v>0</v>
      </c>
      <c r="Y139" s="252">
        <v>0</v>
      </c>
      <c r="Z139" s="168">
        <f t="shared" si="96"/>
        <v>0</v>
      </c>
      <c r="AA139" s="170">
        <f t="shared" si="97"/>
        <v>0</v>
      </c>
      <c r="AB139" s="795">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796">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069">
        <f t="shared" si="98"/>
        <v>0</v>
      </c>
      <c r="AE139" s="784">
        <f t="shared" si="99"/>
        <v>0</v>
      </c>
      <c r="AF139" s="784">
        <f t="shared" si="100"/>
        <v>0</v>
      </c>
      <c r="AG139" s="784">
        <f t="shared" si="101"/>
        <v>0</v>
      </c>
      <c r="AH139" s="1015">
        <f t="shared" si="102"/>
        <v>0</v>
      </c>
      <c r="AI139" s="784">
        <f t="shared" si="103"/>
        <v>0</v>
      </c>
      <c r="AJ139" s="99"/>
      <c r="AK139" s="99"/>
      <c r="AL139" s="99"/>
      <c r="AM139" s="99"/>
    </row>
    <row r="140" spans="1:39" x14ac:dyDescent="0.2">
      <c r="A140" s="202">
        <v>2019</v>
      </c>
      <c r="B140" s="216">
        <v>0</v>
      </c>
      <c r="C140" s="217">
        <v>0</v>
      </c>
      <c r="D140" s="217">
        <v>0</v>
      </c>
      <c r="E140" s="217">
        <v>0</v>
      </c>
      <c r="F140" s="217">
        <v>0</v>
      </c>
      <c r="G140" s="217">
        <v>0</v>
      </c>
      <c r="H140" s="217">
        <v>0</v>
      </c>
      <c r="I140" s="217">
        <v>0</v>
      </c>
      <c r="J140" s="217">
        <v>0</v>
      </c>
      <c r="K140" s="217">
        <v>0</v>
      </c>
      <c r="L140" s="252">
        <v>0</v>
      </c>
      <c r="M140" s="168">
        <f t="shared" si="94"/>
        <v>0</v>
      </c>
      <c r="N140" s="170">
        <f t="shared" si="95"/>
        <v>0</v>
      </c>
      <c r="O140" s="216">
        <v>0</v>
      </c>
      <c r="P140" s="217">
        <v>0</v>
      </c>
      <c r="Q140" s="217">
        <v>0</v>
      </c>
      <c r="R140" s="217">
        <v>0</v>
      </c>
      <c r="S140" s="217">
        <v>0</v>
      </c>
      <c r="T140" s="217">
        <v>0</v>
      </c>
      <c r="U140" s="217">
        <v>0</v>
      </c>
      <c r="V140" s="217">
        <v>0</v>
      </c>
      <c r="W140" s="217">
        <v>0</v>
      </c>
      <c r="X140" s="217">
        <v>0</v>
      </c>
      <c r="Y140" s="252">
        <v>0</v>
      </c>
      <c r="Z140" s="168">
        <f t="shared" si="96"/>
        <v>0</v>
      </c>
      <c r="AA140" s="170">
        <f t="shared" si="97"/>
        <v>0</v>
      </c>
      <c r="AB140" s="795">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796">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069">
        <f t="shared" si="98"/>
        <v>0</v>
      </c>
      <c r="AE140" s="784">
        <f t="shared" si="99"/>
        <v>0</v>
      </c>
      <c r="AF140" s="784">
        <f t="shared" si="100"/>
        <v>0</v>
      </c>
      <c r="AG140" s="784">
        <f t="shared" si="101"/>
        <v>0</v>
      </c>
      <c r="AH140" s="1015">
        <f t="shared" si="102"/>
        <v>0</v>
      </c>
      <c r="AI140" s="784">
        <f t="shared" si="103"/>
        <v>0</v>
      </c>
      <c r="AJ140" s="99"/>
      <c r="AK140" s="99"/>
      <c r="AL140" s="99"/>
      <c r="AM140" s="99"/>
    </row>
    <row r="141" spans="1:39" ht="13.5" thickBot="1" x14ac:dyDescent="0.25">
      <c r="A141" s="200">
        <v>2020</v>
      </c>
      <c r="B141" s="218">
        <v>0</v>
      </c>
      <c r="C141" s="219">
        <v>0</v>
      </c>
      <c r="D141" s="219">
        <v>0</v>
      </c>
      <c r="E141" s="219">
        <v>0</v>
      </c>
      <c r="F141" s="219">
        <v>0</v>
      </c>
      <c r="G141" s="219">
        <v>0</v>
      </c>
      <c r="H141" s="219">
        <v>0</v>
      </c>
      <c r="I141" s="219">
        <v>0</v>
      </c>
      <c r="J141" s="219">
        <v>0</v>
      </c>
      <c r="K141" s="219">
        <v>0</v>
      </c>
      <c r="L141" s="253">
        <v>0</v>
      </c>
      <c r="M141" s="182">
        <f t="shared" si="94"/>
        <v>0</v>
      </c>
      <c r="N141" s="184">
        <f t="shared" si="95"/>
        <v>0</v>
      </c>
      <c r="O141" s="218">
        <v>0</v>
      </c>
      <c r="P141" s="219">
        <v>0</v>
      </c>
      <c r="Q141" s="219">
        <v>0</v>
      </c>
      <c r="R141" s="219">
        <v>0</v>
      </c>
      <c r="S141" s="219">
        <v>0</v>
      </c>
      <c r="T141" s="219">
        <v>0</v>
      </c>
      <c r="U141" s="219">
        <v>0</v>
      </c>
      <c r="V141" s="219">
        <v>0</v>
      </c>
      <c r="W141" s="219">
        <v>0</v>
      </c>
      <c r="X141" s="219">
        <v>0</v>
      </c>
      <c r="Y141" s="253">
        <v>0</v>
      </c>
      <c r="Z141" s="182">
        <f t="shared" si="96"/>
        <v>0</v>
      </c>
      <c r="AA141" s="184">
        <f t="shared" si="97"/>
        <v>0</v>
      </c>
      <c r="AB141" s="795">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796">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069">
        <f t="shared" si="98"/>
        <v>0</v>
      </c>
      <c r="AE141" s="784">
        <f t="shared" si="99"/>
        <v>0</v>
      </c>
      <c r="AF141" s="784">
        <f t="shared" si="100"/>
        <v>0</v>
      </c>
      <c r="AG141" s="784">
        <f t="shared" si="101"/>
        <v>0</v>
      </c>
      <c r="AH141" s="1015">
        <f t="shared" si="102"/>
        <v>0</v>
      </c>
      <c r="AI141" s="784">
        <f t="shared" si="103"/>
        <v>0</v>
      </c>
      <c r="AJ141" s="99"/>
      <c r="AK141" s="99"/>
      <c r="AL141" s="99"/>
      <c r="AM141" s="99"/>
    </row>
    <row r="142" spans="1:39" x14ac:dyDescent="0.2">
      <c r="A142" s="201">
        <v>2021</v>
      </c>
      <c r="B142" s="214">
        <v>0</v>
      </c>
      <c r="C142" s="215">
        <v>0</v>
      </c>
      <c r="D142" s="215">
        <v>0</v>
      </c>
      <c r="E142" s="215">
        <v>0</v>
      </c>
      <c r="F142" s="215">
        <v>0</v>
      </c>
      <c r="G142" s="215">
        <v>0</v>
      </c>
      <c r="H142" s="215">
        <v>0</v>
      </c>
      <c r="I142" s="215">
        <v>0</v>
      </c>
      <c r="J142" s="215">
        <v>0</v>
      </c>
      <c r="K142" s="215">
        <v>0</v>
      </c>
      <c r="L142" s="251">
        <v>0</v>
      </c>
      <c r="M142" s="154">
        <f t="shared" si="94"/>
        <v>0</v>
      </c>
      <c r="N142" s="156">
        <f t="shared" si="95"/>
        <v>0</v>
      </c>
      <c r="O142" s="214">
        <v>0</v>
      </c>
      <c r="P142" s="215">
        <v>0</v>
      </c>
      <c r="Q142" s="215">
        <v>0</v>
      </c>
      <c r="R142" s="215">
        <v>0</v>
      </c>
      <c r="S142" s="215">
        <v>0</v>
      </c>
      <c r="T142" s="215">
        <v>0</v>
      </c>
      <c r="U142" s="215">
        <v>0</v>
      </c>
      <c r="V142" s="215">
        <v>0</v>
      </c>
      <c r="W142" s="215">
        <v>0</v>
      </c>
      <c r="X142" s="215">
        <v>0</v>
      </c>
      <c r="Y142" s="251">
        <v>0</v>
      </c>
      <c r="Z142" s="154">
        <f t="shared" si="96"/>
        <v>0</v>
      </c>
      <c r="AA142" s="156">
        <f t="shared" si="97"/>
        <v>0</v>
      </c>
      <c r="AB142" s="795">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796">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069">
        <f t="shared" si="98"/>
        <v>0</v>
      </c>
      <c r="AE142" s="784">
        <f t="shared" si="99"/>
        <v>0</v>
      </c>
      <c r="AF142" s="784">
        <f t="shared" si="100"/>
        <v>0</v>
      </c>
      <c r="AG142" s="784">
        <f t="shared" si="101"/>
        <v>0</v>
      </c>
      <c r="AH142" s="1015">
        <f t="shared" si="102"/>
        <v>0</v>
      </c>
      <c r="AI142" s="784">
        <f t="shared" si="103"/>
        <v>0</v>
      </c>
      <c r="AJ142" s="99"/>
      <c r="AK142" s="99"/>
      <c r="AL142" s="99"/>
      <c r="AM142" s="99"/>
    </row>
    <row r="143" spans="1:39" x14ac:dyDescent="0.2">
      <c r="A143" s="202">
        <v>2022</v>
      </c>
      <c r="B143" s="216">
        <v>0</v>
      </c>
      <c r="C143" s="217">
        <v>0</v>
      </c>
      <c r="D143" s="217">
        <v>0</v>
      </c>
      <c r="E143" s="217">
        <v>0</v>
      </c>
      <c r="F143" s="217">
        <v>0</v>
      </c>
      <c r="G143" s="217">
        <v>0</v>
      </c>
      <c r="H143" s="217">
        <v>0</v>
      </c>
      <c r="I143" s="217">
        <v>0</v>
      </c>
      <c r="J143" s="217">
        <v>0</v>
      </c>
      <c r="K143" s="217">
        <v>0</v>
      </c>
      <c r="L143" s="252">
        <v>0</v>
      </c>
      <c r="M143" s="168">
        <f t="shared" si="94"/>
        <v>0</v>
      </c>
      <c r="N143" s="170">
        <f t="shared" si="95"/>
        <v>0</v>
      </c>
      <c r="O143" s="216">
        <v>0</v>
      </c>
      <c r="P143" s="217">
        <v>0</v>
      </c>
      <c r="Q143" s="217">
        <v>0</v>
      </c>
      <c r="R143" s="217">
        <v>0</v>
      </c>
      <c r="S143" s="217">
        <v>0</v>
      </c>
      <c r="T143" s="217">
        <v>0</v>
      </c>
      <c r="U143" s="217">
        <v>0</v>
      </c>
      <c r="V143" s="217">
        <v>0</v>
      </c>
      <c r="W143" s="217">
        <v>0</v>
      </c>
      <c r="X143" s="217">
        <v>0</v>
      </c>
      <c r="Y143" s="252">
        <v>0</v>
      </c>
      <c r="Z143" s="168">
        <f t="shared" si="96"/>
        <v>0</v>
      </c>
      <c r="AA143" s="170">
        <f t="shared" si="97"/>
        <v>0</v>
      </c>
      <c r="AB143" s="795">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796">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069">
        <f t="shared" si="98"/>
        <v>0</v>
      </c>
      <c r="AE143" s="784">
        <f>SUMPRODUCT($B$74:$L$74,B143:L143)</f>
        <v>0</v>
      </c>
      <c r="AF143" s="784">
        <f>SUMPRODUCT($O$74:$Y$74,O143:Y143)</f>
        <v>0</v>
      </c>
      <c r="AG143" s="784">
        <f>SUM(AE143:AF143)</f>
        <v>0</v>
      </c>
      <c r="AH143" s="1015">
        <f t="shared" si="102"/>
        <v>0</v>
      </c>
      <c r="AI143" s="784">
        <f t="shared" si="103"/>
        <v>0</v>
      </c>
      <c r="AJ143" s="99"/>
      <c r="AK143" s="99"/>
      <c r="AL143" s="99"/>
      <c r="AM143" s="99"/>
    </row>
    <row r="144" spans="1:39" x14ac:dyDescent="0.2">
      <c r="A144" s="202">
        <v>2023</v>
      </c>
      <c r="B144" s="216">
        <v>0</v>
      </c>
      <c r="C144" s="217">
        <v>0</v>
      </c>
      <c r="D144" s="217">
        <v>0</v>
      </c>
      <c r="E144" s="217">
        <v>0</v>
      </c>
      <c r="F144" s="217">
        <v>0</v>
      </c>
      <c r="G144" s="217">
        <v>0</v>
      </c>
      <c r="H144" s="217">
        <v>0</v>
      </c>
      <c r="I144" s="217">
        <v>0</v>
      </c>
      <c r="J144" s="217">
        <v>0</v>
      </c>
      <c r="K144" s="217">
        <v>0</v>
      </c>
      <c r="L144" s="252">
        <v>0</v>
      </c>
      <c r="M144" s="168">
        <f t="shared" si="94"/>
        <v>0</v>
      </c>
      <c r="N144" s="170">
        <f t="shared" si="95"/>
        <v>0</v>
      </c>
      <c r="O144" s="216">
        <v>0</v>
      </c>
      <c r="P144" s="217">
        <v>0</v>
      </c>
      <c r="Q144" s="217">
        <v>0</v>
      </c>
      <c r="R144" s="217">
        <v>0</v>
      </c>
      <c r="S144" s="217">
        <v>0</v>
      </c>
      <c r="T144" s="217">
        <v>0</v>
      </c>
      <c r="U144" s="217">
        <v>0</v>
      </c>
      <c r="V144" s="217">
        <v>0</v>
      </c>
      <c r="W144" s="217">
        <v>0</v>
      </c>
      <c r="X144" s="217">
        <v>0</v>
      </c>
      <c r="Y144" s="252">
        <v>0</v>
      </c>
      <c r="Z144" s="168">
        <f t="shared" si="96"/>
        <v>0</v>
      </c>
      <c r="AA144" s="170">
        <f t="shared" si="97"/>
        <v>0</v>
      </c>
      <c r="AB144" s="795">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796">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069">
        <f t="shared" si="98"/>
        <v>0</v>
      </c>
      <c r="AE144" s="784">
        <f t="shared" ref="AE144:AE171" si="104">SUMPRODUCT($B$74:$L$74,B144:L144)</f>
        <v>0</v>
      </c>
      <c r="AF144" s="784">
        <f t="shared" ref="AF144:AF171" si="105">SUMPRODUCT($O$74:$Y$74,O144:Y144)</f>
        <v>0</v>
      </c>
      <c r="AG144" s="784">
        <f t="shared" ref="AG144:AG171" si="106">SUM(AE144:AF144)</f>
        <v>0</v>
      </c>
      <c r="AH144" s="1015">
        <f t="shared" si="102"/>
        <v>0</v>
      </c>
      <c r="AI144" s="784">
        <f t="shared" si="103"/>
        <v>0</v>
      </c>
      <c r="AJ144" s="99"/>
      <c r="AK144" s="99"/>
      <c r="AL144" s="99"/>
      <c r="AM144" s="99"/>
    </row>
    <row r="145" spans="1:39" x14ac:dyDescent="0.2">
      <c r="A145" s="202">
        <v>2024</v>
      </c>
      <c r="B145" s="216">
        <v>0</v>
      </c>
      <c r="C145" s="217">
        <v>0</v>
      </c>
      <c r="D145" s="217">
        <v>0</v>
      </c>
      <c r="E145" s="217">
        <v>0</v>
      </c>
      <c r="F145" s="217">
        <v>0</v>
      </c>
      <c r="G145" s="217">
        <v>0</v>
      </c>
      <c r="H145" s="217">
        <v>0</v>
      </c>
      <c r="I145" s="217">
        <v>0</v>
      </c>
      <c r="J145" s="217">
        <v>0</v>
      </c>
      <c r="K145" s="217">
        <v>0</v>
      </c>
      <c r="L145" s="252">
        <v>0</v>
      </c>
      <c r="M145" s="168">
        <f t="shared" si="94"/>
        <v>0</v>
      </c>
      <c r="N145" s="170">
        <f t="shared" si="95"/>
        <v>0</v>
      </c>
      <c r="O145" s="216">
        <v>0</v>
      </c>
      <c r="P145" s="217">
        <v>0</v>
      </c>
      <c r="Q145" s="217">
        <v>0</v>
      </c>
      <c r="R145" s="217">
        <v>0</v>
      </c>
      <c r="S145" s="217">
        <v>0</v>
      </c>
      <c r="T145" s="217">
        <v>0</v>
      </c>
      <c r="U145" s="217">
        <v>0</v>
      </c>
      <c r="V145" s="217">
        <v>0</v>
      </c>
      <c r="W145" s="217">
        <v>0</v>
      </c>
      <c r="X145" s="217">
        <v>0</v>
      </c>
      <c r="Y145" s="252">
        <v>0</v>
      </c>
      <c r="Z145" s="168">
        <f t="shared" si="96"/>
        <v>0</v>
      </c>
      <c r="AA145" s="170">
        <f t="shared" si="97"/>
        <v>0</v>
      </c>
      <c r="AB145" s="795">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796">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069">
        <f t="shared" si="98"/>
        <v>0</v>
      </c>
      <c r="AE145" s="784">
        <f t="shared" si="104"/>
        <v>0</v>
      </c>
      <c r="AF145" s="784">
        <f t="shared" si="105"/>
        <v>0</v>
      </c>
      <c r="AG145" s="784">
        <f t="shared" si="106"/>
        <v>0</v>
      </c>
      <c r="AH145" s="1015">
        <f t="shared" si="102"/>
        <v>0</v>
      </c>
      <c r="AI145" s="784">
        <f t="shared" si="103"/>
        <v>0</v>
      </c>
      <c r="AJ145" s="99"/>
      <c r="AK145" s="99"/>
      <c r="AL145" s="99"/>
      <c r="AM145" s="99"/>
    </row>
    <row r="146" spans="1:39" ht="13.5" thickBot="1" x14ac:dyDescent="0.25">
      <c r="A146" s="200">
        <v>2025</v>
      </c>
      <c r="B146" s="218">
        <v>0</v>
      </c>
      <c r="C146" s="219">
        <v>0</v>
      </c>
      <c r="D146" s="219">
        <v>0</v>
      </c>
      <c r="E146" s="219">
        <v>0</v>
      </c>
      <c r="F146" s="219">
        <v>0</v>
      </c>
      <c r="G146" s="219">
        <v>0</v>
      </c>
      <c r="H146" s="219">
        <v>0</v>
      </c>
      <c r="I146" s="219">
        <v>0</v>
      </c>
      <c r="J146" s="219">
        <v>0</v>
      </c>
      <c r="K146" s="219">
        <v>0</v>
      </c>
      <c r="L146" s="253">
        <v>0</v>
      </c>
      <c r="M146" s="182">
        <f t="shared" si="94"/>
        <v>0</v>
      </c>
      <c r="N146" s="184">
        <f t="shared" si="95"/>
        <v>0</v>
      </c>
      <c r="O146" s="218">
        <v>0</v>
      </c>
      <c r="P146" s="219">
        <v>0</v>
      </c>
      <c r="Q146" s="219">
        <v>0</v>
      </c>
      <c r="R146" s="219">
        <v>0</v>
      </c>
      <c r="S146" s="219">
        <v>0</v>
      </c>
      <c r="T146" s="219">
        <v>0</v>
      </c>
      <c r="U146" s="219">
        <v>0</v>
      </c>
      <c r="V146" s="219">
        <v>0</v>
      </c>
      <c r="W146" s="219">
        <v>0</v>
      </c>
      <c r="X146" s="219">
        <v>0</v>
      </c>
      <c r="Y146" s="253">
        <v>0</v>
      </c>
      <c r="Z146" s="182">
        <f t="shared" si="96"/>
        <v>0</v>
      </c>
      <c r="AA146" s="184">
        <f t="shared" si="97"/>
        <v>0</v>
      </c>
      <c r="AB146" s="795">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796">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069">
        <f t="shared" si="98"/>
        <v>0</v>
      </c>
      <c r="AE146" s="784">
        <f t="shared" si="104"/>
        <v>0</v>
      </c>
      <c r="AF146" s="784">
        <f t="shared" si="105"/>
        <v>0</v>
      </c>
      <c r="AG146" s="784">
        <f t="shared" si="106"/>
        <v>0</v>
      </c>
      <c r="AH146" s="1015">
        <f t="shared" si="102"/>
        <v>0</v>
      </c>
      <c r="AI146" s="784">
        <f t="shared" si="103"/>
        <v>0</v>
      </c>
      <c r="AJ146" s="99"/>
      <c r="AK146" s="99"/>
      <c r="AL146" s="99"/>
      <c r="AM146" s="99"/>
    </row>
    <row r="147" spans="1:39" x14ac:dyDescent="0.2">
      <c r="A147" s="201">
        <v>2026</v>
      </c>
      <c r="B147" s="214">
        <v>0</v>
      </c>
      <c r="C147" s="215">
        <v>0</v>
      </c>
      <c r="D147" s="215">
        <v>5.5414152393678326E-5</v>
      </c>
      <c r="E147" s="215">
        <v>2.1126215061802157E-3</v>
      </c>
      <c r="F147" s="215">
        <v>5.978320484544628E-3</v>
      </c>
      <c r="G147" s="215">
        <v>9.9295026590586997E-3</v>
      </c>
      <c r="H147" s="215">
        <v>1.263894134686409E-2</v>
      </c>
      <c r="I147" s="215">
        <v>1.6279653521983545E-2</v>
      </c>
      <c r="J147" s="215">
        <v>1.8287408734209417E-2</v>
      </c>
      <c r="K147" s="215">
        <v>1.9443856162385188E-2</v>
      </c>
      <c r="L147" s="251">
        <v>2.1355746752674064E-2</v>
      </c>
      <c r="M147" s="154">
        <f t="shared" si="94"/>
        <v>2.6878468247393842E-3</v>
      </c>
      <c r="N147" s="156">
        <f t="shared" si="95"/>
        <v>2.2564233766667365E-3</v>
      </c>
      <c r="O147" s="214">
        <v>0</v>
      </c>
      <c r="P147" s="215">
        <v>0</v>
      </c>
      <c r="Q147" s="215">
        <v>2.0224678987376229E-4</v>
      </c>
      <c r="R147" s="215">
        <v>2.5845266713748439E-3</v>
      </c>
      <c r="S147" s="215">
        <v>7.0847193515797355E-3</v>
      </c>
      <c r="T147" s="215">
        <v>1.1377126769157022E-2</v>
      </c>
      <c r="U147" s="215">
        <v>1.4198153491827629E-2</v>
      </c>
      <c r="V147" s="215">
        <v>1.6763948226782333E-2</v>
      </c>
      <c r="W147" s="215">
        <v>1.8287408734209417E-2</v>
      </c>
      <c r="X147" s="215">
        <v>1.9714424312416247E-2</v>
      </c>
      <c r="Y147" s="251">
        <v>2.1355746752674064E-2</v>
      </c>
      <c r="Z147" s="154">
        <f t="shared" si="96"/>
        <v>1.0049131887943973E-2</v>
      </c>
      <c r="AA147" s="156">
        <f t="shared" si="97"/>
        <v>8.5867368632253898E-3</v>
      </c>
      <c r="AB147" s="795">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796">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069">
        <f t="shared" si="98"/>
        <v>0</v>
      </c>
      <c r="AE147" s="784">
        <f t="shared" si="104"/>
        <v>2.6878468247393842E-3</v>
      </c>
      <c r="AF147" s="784">
        <f t="shared" si="105"/>
        <v>1.0049131887943973E-2</v>
      </c>
      <c r="AG147" s="784">
        <f t="shared" si="106"/>
        <v>1.2736978712683356E-2</v>
      </c>
      <c r="AH147" s="1015">
        <f t="shared" si="102"/>
        <v>0.21102703281295848</v>
      </c>
      <c r="AI147" s="784">
        <f t="shared" si="103"/>
        <v>0.78897296718704157</v>
      </c>
      <c r="AJ147" s="99"/>
      <c r="AK147" s="99"/>
      <c r="AL147" s="99"/>
      <c r="AM147" s="99"/>
    </row>
    <row r="148" spans="1:39" x14ac:dyDescent="0.2">
      <c r="A148" s="202">
        <v>2027</v>
      </c>
      <c r="B148" s="216">
        <v>0</v>
      </c>
      <c r="C148" s="217">
        <v>0</v>
      </c>
      <c r="D148" s="217">
        <v>7.7250540027067925E-5</v>
      </c>
      <c r="E148" s="217">
        <v>3.7398795738978097E-3</v>
      </c>
      <c r="F148" s="217">
        <v>1.0969832180036601E-2</v>
      </c>
      <c r="G148" s="217">
        <v>2.1657534149089337E-2</v>
      </c>
      <c r="H148" s="217">
        <v>2.8672977420441458E-2</v>
      </c>
      <c r="I148" s="217">
        <v>3.5366399617766345E-2</v>
      </c>
      <c r="J148" s="217">
        <v>4.1278353330546788E-2</v>
      </c>
      <c r="K148" s="217">
        <v>4.5124351158490991E-2</v>
      </c>
      <c r="L148" s="252">
        <v>5.2058225126420471E-2</v>
      </c>
      <c r="M148" s="168">
        <f t="shared" si="94"/>
        <v>5.974042707910388E-3</v>
      </c>
      <c r="N148" s="170">
        <f t="shared" si="95"/>
        <v>4.9395285951924495E-3</v>
      </c>
      <c r="O148" s="216">
        <v>0</v>
      </c>
      <c r="P148" s="217">
        <v>0</v>
      </c>
      <c r="Q148" s="217">
        <v>3.2846516282643751E-4</v>
      </c>
      <c r="R148" s="217">
        <v>4.4896475192159977E-3</v>
      </c>
      <c r="S148" s="217">
        <v>1.504241924300187E-2</v>
      </c>
      <c r="T148" s="217">
        <v>2.2467193914232412E-2</v>
      </c>
      <c r="U148" s="217">
        <v>2.957454564705404E-2</v>
      </c>
      <c r="V148" s="217">
        <v>3.7338647256008585E-2</v>
      </c>
      <c r="W148" s="217">
        <v>4.3220052254045876E-2</v>
      </c>
      <c r="X148" s="217">
        <v>4.6976285780849197E-2</v>
      </c>
      <c r="Y148" s="252">
        <v>5.2058225126420471E-2</v>
      </c>
      <c r="Z148" s="168">
        <f t="shared" si="96"/>
        <v>2.1672033401022875E-2</v>
      </c>
      <c r="AA148" s="170">
        <f t="shared" si="97"/>
        <v>1.8233880359948114E-2</v>
      </c>
      <c r="AB148" s="795">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796">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069">
        <f t="shared" si="98"/>
        <v>0</v>
      </c>
      <c r="AE148" s="784">
        <f t="shared" si="104"/>
        <v>5.974042707910388E-3</v>
      </c>
      <c r="AF148" s="784">
        <f t="shared" si="105"/>
        <v>2.1672033401022875E-2</v>
      </c>
      <c r="AG148" s="784">
        <f t="shared" si="106"/>
        <v>2.7646076108933264E-2</v>
      </c>
      <c r="AH148" s="1015">
        <f t="shared" si="102"/>
        <v>0.21609007673895531</v>
      </c>
      <c r="AI148" s="784">
        <f t="shared" si="103"/>
        <v>0.78390992326104469</v>
      </c>
      <c r="AJ148" s="99"/>
      <c r="AK148" s="99"/>
      <c r="AL148" s="99"/>
      <c r="AM148" s="99"/>
    </row>
    <row r="149" spans="1:39" x14ac:dyDescent="0.2">
      <c r="A149" s="202">
        <v>2028</v>
      </c>
      <c r="B149" s="216">
        <v>0</v>
      </c>
      <c r="C149" s="217">
        <v>0</v>
      </c>
      <c r="D149" s="217">
        <v>3.8605417213650318E-3</v>
      </c>
      <c r="E149" s="217">
        <v>3.4146051368029957E-2</v>
      </c>
      <c r="F149" s="217">
        <v>6.0827026057572266E-2</v>
      </c>
      <c r="G149" s="217">
        <v>8.4677659374402206E-2</v>
      </c>
      <c r="H149" s="217">
        <v>9.6644899789803992E-2</v>
      </c>
      <c r="I149" s="217">
        <v>0.11062675982708045</v>
      </c>
      <c r="J149" s="217">
        <v>0.11786198053099356</v>
      </c>
      <c r="K149" s="217">
        <v>0.12318738291190767</v>
      </c>
      <c r="L149" s="252">
        <v>0.129643865077472</v>
      </c>
      <c r="M149" s="168">
        <f t="shared" si="94"/>
        <v>2.0280619602039748E-2</v>
      </c>
      <c r="N149" s="170">
        <f t="shared" si="95"/>
        <v>1.7877223838370301E-2</v>
      </c>
      <c r="O149" s="216">
        <v>0</v>
      </c>
      <c r="P149" s="217">
        <v>0</v>
      </c>
      <c r="Q149" s="217">
        <v>8.3317064016528528E-3</v>
      </c>
      <c r="R149" s="217">
        <v>3.7248977302285866E-2</v>
      </c>
      <c r="S149" s="217">
        <v>6.8231814390626144E-2</v>
      </c>
      <c r="T149" s="217">
        <v>9.2282649103788833E-2</v>
      </c>
      <c r="U149" s="217">
        <v>0.10386123976725044</v>
      </c>
      <c r="V149" s="217">
        <v>0.11437202217616574</v>
      </c>
      <c r="W149" s="217">
        <v>0.12015520976636822</v>
      </c>
      <c r="X149" s="217">
        <v>0.12318738291190767</v>
      </c>
      <c r="Y149" s="252">
        <v>0.12760226833596075</v>
      </c>
      <c r="Z149" s="168">
        <f t="shared" si="96"/>
        <v>7.3893053074372342E-2</v>
      </c>
      <c r="AA149" s="170">
        <f t="shared" si="97"/>
        <v>6.5361061482443986E-2</v>
      </c>
      <c r="AB149" s="795">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796">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069">
        <f t="shared" si="98"/>
        <v>0</v>
      </c>
      <c r="AE149" s="784">
        <f t="shared" si="104"/>
        <v>2.0280619602039748E-2</v>
      </c>
      <c r="AF149" s="784">
        <f t="shared" si="105"/>
        <v>7.3893053074372342E-2</v>
      </c>
      <c r="AG149" s="784">
        <f t="shared" si="106"/>
        <v>9.4173672676412093E-2</v>
      </c>
      <c r="AH149" s="1015">
        <f t="shared" si="102"/>
        <v>0.21535338938861925</v>
      </c>
      <c r="AI149" s="784">
        <f t="shared" si="103"/>
        <v>0.78464661061138075</v>
      </c>
      <c r="AJ149" s="99"/>
      <c r="AK149" s="99"/>
      <c r="AL149" s="99"/>
      <c r="AM149" s="99"/>
    </row>
    <row r="150" spans="1:39" x14ac:dyDescent="0.2">
      <c r="A150" s="202">
        <v>2029</v>
      </c>
      <c r="B150" s="216">
        <v>0</v>
      </c>
      <c r="C150" s="217">
        <v>0</v>
      </c>
      <c r="D150" s="217">
        <v>1.3890562125807219E-2</v>
      </c>
      <c r="E150" s="217">
        <v>8.1753093238500454E-2</v>
      </c>
      <c r="F150" s="217">
        <v>0.13693551247960886</v>
      </c>
      <c r="G150" s="217">
        <v>0.17384490975340111</v>
      </c>
      <c r="H150" s="217">
        <v>0.19528289532478177</v>
      </c>
      <c r="I150" s="217">
        <v>0.21263355005199197</v>
      </c>
      <c r="J150" s="217">
        <v>0.22505337089540459</v>
      </c>
      <c r="K150" s="217">
        <v>0.23397932623828088</v>
      </c>
      <c r="L150" s="252">
        <v>0.24346982735800116</v>
      </c>
      <c r="M150" s="168">
        <f t="shared" si="94"/>
        <v>4.0920236409825332E-2</v>
      </c>
      <c r="N150" s="170">
        <f t="shared" si="95"/>
        <v>3.6689226336381497E-2</v>
      </c>
      <c r="O150" s="216">
        <v>0</v>
      </c>
      <c r="P150" s="217">
        <v>0</v>
      </c>
      <c r="Q150" s="217">
        <v>2.4894571864988113E-2</v>
      </c>
      <c r="R150" s="217">
        <v>8.846518570237058E-2</v>
      </c>
      <c r="S150" s="217">
        <v>0.14512417106451694</v>
      </c>
      <c r="T150" s="217">
        <v>0.18186554776721431</v>
      </c>
      <c r="U150" s="217">
        <v>0.20062134712230797</v>
      </c>
      <c r="V150" s="217">
        <v>0.21912174646202123</v>
      </c>
      <c r="W150" s="217">
        <v>0.22902205239207013</v>
      </c>
      <c r="X150" s="217">
        <v>0.23397932623828088</v>
      </c>
      <c r="Y150" s="252">
        <v>0.24102510908466754</v>
      </c>
      <c r="Z150" s="168">
        <f t="shared" si="96"/>
        <v>0.14452864996960096</v>
      </c>
      <c r="AA150" s="170">
        <f t="shared" si="97"/>
        <v>0.1290622698418383</v>
      </c>
      <c r="AB150" s="795">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796">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069">
        <f t="shared" si="98"/>
        <v>0</v>
      </c>
      <c r="AE150" s="784">
        <f t="shared" si="104"/>
        <v>4.0920236409825332E-2</v>
      </c>
      <c r="AF150" s="784">
        <f t="shared" si="105"/>
        <v>0.14452864996960096</v>
      </c>
      <c r="AG150" s="784">
        <f t="shared" si="106"/>
        <v>0.1854488863794263</v>
      </c>
      <c r="AH150" s="1015">
        <f t="shared" si="102"/>
        <v>0.22065506678806901</v>
      </c>
      <c r="AI150" s="784">
        <f t="shared" si="103"/>
        <v>0.77934493321193099</v>
      </c>
      <c r="AJ150" s="99"/>
      <c r="AK150" s="99"/>
      <c r="AL150" s="99"/>
      <c r="AM150" s="99"/>
    </row>
    <row r="151" spans="1:39" ht="13.5" thickBot="1" x14ac:dyDescent="0.25">
      <c r="A151" s="200">
        <v>2030</v>
      </c>
      <c r="B151" s="218">
        <v>0</v>
      </c>
      <c r="C151" s="219">
        <v>0</v>
      </c>
      <c r="D151" s="219">
        <v>4.6227558749789094E-2</v>
      </c>
      <c r="E151" s="219">
        <v>0.1611856479991188</v>
      </c>
      <c r="F151" s="219">
        <v>0.23623030139735895</v>
      </c>
      <c r="G151" s="219">
        <v>0.28831378614546843</v>
      </c>
      <c r="H151" s="219">
        <v>0.30643843108270807</v>
      </c>
      <c r="I151" s="219">
        <v>0.32904884131835332</v>
      </c>
      <c r="J151" s="219">
        <v>0.34209890636881285</v>
      </c>
      <c r="K151" s="219">
        <v>0.34820591793995981</v>
      </c>
      <c r="L151" s="253">
        <v>0.35947785525370252</v>
      </c>
      <c r="M151" s="182">
        <f t="shared" si="94"/>
        <v>6.5363807440548691E-2</v>
      </c>
      <c r="N151" s="184">
        <f t="shared" si="95"/>
        <v>5.9734192649220717E-2</v>
      </c>
      <c r="O151" s="218">
        <v>0</v>
      </c>
      <c r="P151" s="219">
        <v>0</v>
      </c>
      <c r="Q151" s="219">
        <v>7.5012787124376312E-2</v>
      </c>
      <c r="R151" s="219">
        <v>0.1817898836603595</v>
      </c>
      <c r="S151" s="219">
        <v>0.25717350578107451</v>
      </c>
      <c r="T151" s="219">
        <v>0.29627417875157414</v>
      </c>
      <c r="U151" s="219">
        <v>0.31364599191075704</v>
      </c>
      <c r="V151" s="219">
        <v>0.3367783166508419</v>
      </c>
      <c r="W151" s="219">
        <v>0.34341702728675766</v>
      </c>
      <c r="X151" s="219">
        <v>0.3524000444898196</v>
      </c>
      <c r="Y151" s="253">
        <v>0.35654465427427756</v>
      </c>
      <c r="Z151" s="182">
        <f t="shared" si="96"/>
        <v>0.2301857184971296</v>
      </c>
      <c r="AA151" s="184">
        <f t="shared" si="97"/>
        <v>0.20903915807224699</v>
      </c>
      <c r="AB151" s="795">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796">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069">
        <f t="shared" si="98"/>
        <v>0</v>
      </c>
      <c r="AE151" s="784">
        <f t="shared" si="104"/>
        <v>6.5363807440548691E-2</v>
      </c>
      <c r="AF151" s="784">
        <f t="shared" si="105"/>
        <v>0.2301857184971296</v>
      </c>
      <c r="AG151" s="784">
        <f t="shared" si="106"/>
        <v>0.2955495259376783</v>
      </c>
      <c r="AH151" s="1015">
        <f t="shared" si="102"/>
        <v>0.22116025134255088</v>
      </c>
      <c r="AI151" s="784">
        <f t="shared" si="103"/>
        <v>0.77883974865744909</v>
      </c>
      <c r="AJ151" s="99"/>
      <c r="AK151" s="99"/>
      <c r="AL151" s="99"/>
      <c r="AM151" s="99"/>
    </row>
    <row r="152" spans="1:39" x14ac:dyDescent="0.2">
      <c r="A152" s="201">
        <v>2031</v>
      </c>
      <c r="B152" s="214">
        <v>0</v>
      </c>
      <c r="C152" s="215">
        <v>0</v>
      </c>
      <c r="D152" s="215">
        <v>8.3556587804097193E-2</v>
      </c>
      <c r="E152" s="215">
        <v>0.23314317921889005</v>
      </c>
      <c r="F152" s="215">
        <v>0.31304473454089454</v>
      </c>
      <c r="G152" s="215">
        <v>0.35996844724826915</v>
      </c>
      <c r="H152" s="215">
        <v>0.38881971271329491</v>
      </c>
      <c r="I152" s="215">
        <v>0.40575255071191563</v>
      </c>
      <c r="J152" s="215">
        <v>0.41952007708377542</v>
      </c>
      <c r="K152" s="215">
        <v>0.42524646908666552</v>
      </c>
      <c r="L152" s="251">
        <v>0.43309993783922773</v>
      </c>
      <c r="M152" s="154">
        <f t="shared" si="94"/>
        <v>8.2878829673083187E-2</v>
      </c>
      <c r="N152" s="156">
        <f t="shared" si="95"/>
        <v>7.6677074136647705E-2</v>
      </c>
      <c r="O152" s="214">
        <v>0</v>
      </c>
      <c r="P152" s="215">
        <v>2.5089642590812021E-4</v>
      </c>
      <c r="Q152" s="215">
        <v>0.12828575710450826</v>
      </c>
      <c r="R152" s="215">
        <v>0.24744204689244548</v>
      </c>
      <c r="S152" s="215">
        <v>0.33411813835859339</v>
      </c>
      <c r="T152" s="215">
        <v>0.36920001106913936</v>
      </c>
      <c r="U152" s="215">
        <v>0.39644024023544638</v>
      </c>
      <c r="V152" s="215">
        <v>0.41375068107722951</v>
      </c>
      <c r="W152" s="215">
        <v>0.41952007708377542</v>
      </c>
      <c r="X152" s="215">
        <v>0.42956618727867529</v>
      </c>
      <c r="Y152" s="251">
        <v>0.43309993783922773</v>
      </c>
      <c r="Z152" s="154">
        <f t="shared" si="96"/>
        <v>0.28878065903502453</v>
      </c>
      <c r="AA152" s="156">
        <f t="shared" si="97"/>
        <v>0.26411078979907088</v>
      </c>
      <c r="AB152" s="795">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796">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069">
        <f t="shared" si="98"/>
        <v>0</v>
      </c>
      <c r="AE152" s="784">
        <f t="shared" si="104"/>
        <v>8.2878829673083187E-2</v>
      </c>
      <c r="AF152" s="784">
        <f t="shared" si="105"/>
        <v>0.28878065903502453</v>
      </c>
      <c r="AG152" s="784">
        <f t="shared" si="106"/>
        <v>0.37165948870810772</v>
      </c>
      <c r="AH152" s="1015">
        <f t="shared" si="102"/>
        <v>0.22299667354429956</v>
      </c>
      <c r="AI152" s="784">
        <f t="shared" si="103"/>
        <v>0.77700332645570047</v>
      </c>
      <c r="AJ152" s="99"/>
      <c r="AK152" s="99"/>
      <c r="AL152" s="99"/>
      <c r="AM152" s="99"/>
    </row>
    <row r="153" spans="1:39" x14ac:dyDescent="0.2">
      <c r="A153" s="202">
        <v>2032</v>
      </c>
      <c r="B153" s="216">
        <v>0</v>
      </c>
      <c r="C153" s="217">
        <v>1.8473777523959071E-4</v>
      </c>
      <c r="D153" s="217">
        <v>0.10841500886595282</v>
      </c>
      <c r="E153" s="217">
        <v>0.2676061384105427</v>
      </c>
      <c r="F153" s="217">
        <v>0.35017134606899658</v>
      </c>
      <c r="G153" s="217">
        <v>0.39928341894252534</v>
      </c>
      <c r="H153" s="217">
        <v>0.42050133830962216</v>
      </c>
      <c r="I153" s="217">
        <v>0.4474631405991969</v>
      </c>
      <c r="J153" s="217">
        <v>0.45441362608135605</v>
      </c>
      <c r="K153" s="217">
        <v>0.4645667837447241</v>
      </c>
      <c r="L153" s="252">
        <v>0.47130716895311658</v>
      </c>
      <c r="M153" s="168">
        <f t="shared" si="94"/>
        <v>9.1047658600218156E-2</v>
      </c>
      <c r="N153" s="170">
        <f t="shared" si="95"/>
        <v>8.4613887319575393E-2</v>
      </c>
      <c r="O153" s="216">
        <v>0</v>
      </c>
      <c r="P153" s="217">
        <v>6.8515546261564871E-4</v>
      </c>
      <c r="Q153" s="217">
        <v>0.15078932713316825</v>
      </c>
      <c r="R153" s="217">
        <v>0.28316930966583631</v>
      </c>
      <c r="S153" s="217">
        <v>0.36477347727391879</v>
      </c>
      <c r="T153" s="217">
        <v>0.41160479366641495</v>
      </c>
      <c r="U153" s="217">
        <v>0.43116737495502405</v>
      </c>
      <c r="V153" s="217">
        <v>0.4474631405991969</v>
      </c>
      <c r="W153" s="217">
        <v>0.4598952511184462</v>
      </c>
      <c r="X153" s="217">
        <v>0.4645667837447241</v>
      </c>
      <c r="Y153" s="252">
        <v>0.47130716895311658</v>
      </c>
      <c r="Z153" s="168">
        <f t="shared" si="96"/>
        <v>0.31645655809806661</v>
      </c>
      <c r="AA153" s="170">
        <f t="shared" si="97"/>
        <v>0.29020826229245555</v>
      </c>
      <c r="AB153" s="795">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796">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069">
        <f t="shared" si="98"/>
        <v>0</v>
      </c>
      <c r="AE153" s="784">
        <f t="shared" si="104"/>
        <v>9.1047658600218156E-2</v>
      </c>
      <c r="AF153" s="784">
        <f t="shared" si="105"/>
        <v>0.31645655809806661</v>
      </c>
      <c r="AG153" s="784">
        <f t="shared" si="106"/>
        <v>0.40750421669828474</v>
      </c>
      <c r="AH153" s="1015">
        <f t="shared" si="102"/>
        <v>0.22342752508897265</v>
      </c>
      <c r="AI153" s="784">
        <f t="shared" si="103"/>
        <v>0.77657247491102743</v>
      </c>
      <c r="AJ153" s="99"/>
      <c r="AK153" s="99"/>
      <c r="AL153" s="99"/>
      <c r="AM153" s="99"/>
    </row>
    <row r="154" spans="1:39" x14ac:dyDescent="0.2">
      <c r="A154" s="202">
        <v>2033</v>
      </c>
      <c r="B154" s="216">
        <v>0</v>
      </c>
      <c r="C154" s="217">
        <v>4.9066407028698449E-4</v>
      </c>
      <c r="D154" s="217">
        <v>0.13256327628599196</v>
      </c>
      <c r="E154" s="217">
        <v>0.30475452556191918</v>
      </c>
      <c r="F154" s="217">
        <v>0.37604421233236657</v>
      </c>
      <c r="G154" s="217">
        <v>0.4243220619935586</v>
      </c>
      <c r="H154" s="217">
        <v>0.44448886069134064</v>
      </c>
      <c r="I154" s="217">
        <v>0.46128792066938967</v>
      </c>
      <c r="J154" s="217">
        <v>0.47410396998223198</v>
      </c>
      <c r="K154" s="217">
        <v>0.47891976223004967</v>
      </c>
      <c r="L154" s="252">
        <v>0.4858682919408695</v>
      </c>
      <c r="M154" s="168">
        <f t="shared" si="94"/>
        <v>9.6286793543885418E-2</v>
      </c>
      <c r="N154" s="170">
        <f t="shared" si="95"/>
        <v>9.0125192292482614E-2</v>
      </c>
      <c r="O154" s="216">
        <v>0</v>
      </c>
      <c r="P154" s="217">
        <v>1.4276696399977804E-3</v>
      </c>
      <c r="Q154" s="217">
        <v>0.18023690232507558</v>
      </c>
      <c r="R154" s="217">
        <v>0.32078959379706434</v>
      </c>
      <c r="S154" s="217">
        <v>0.38727571276906281</v>
      </c>
      <c r="T154" s="217">
        <v>0.43349335783618331</v>
      </c>
      <c r="U154" s="217">
        <v>0.45237109167884226</v>
      </c>
      <c r="V154" s="217">
        <v>0.46771988425507288</v>
      </c>
      <c r="W154" s="217">
        <v>0.47410396998223198</v>
      </c>
      <c r="X154" s="217">
        <v>0.47891976223004967</v>
      </c>
      <c r="Y154" s="252">
        <v>0.4858682919408695</v>
      </c>
      <c r="Z154" s="168">
        <f t="shared" si="96"/>
        <v>0.33268562794920559</v>
      </c>
      <c r="AA154" s="170">
        <f t="shared" si="97"/>
        <v>0.30651542835413242</v>
      </c>
      <c r="AB154" s="795">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796">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069">
        <f>AB154*AH154+AC154*AI154</f>
        <v>0</v>
      </c>
      <c r="AE154" s="784">
        <f t="shared" si="104"/>
        <v>9.6286793543885418E-2</v>
      </c>
      <c r="AF154" s="784">
        <f t="shared" si="105"/>
        <v>0.33268562794920559</v>
      </c>
      <c r="AG154" s="784">
        <f t="shared" si="106"/>
        <v>0.42897242149309101</v>
      </c>
      <c r="AH154" s="1015">
        <f t="shared" si="102"/>
        <v>0.22445916967983034</v>
      </c>
      <c r="AI154" s="784">
        <f t="shared" si="103"/>
        <v>0.77554083032016963</v>
      </c>
      <c r="AJ154" s="99"/>
      <c r="AK154" s="99"/>
      <c r="AL154" s="99"/>
      <c r="AM154" s="99"/>
    </row>
    <row r="155" spans="1:39" x14ac:dyDescent="0.2">
      <c r="A155" s="202">
        <v>2034</v>
      </c>
      <c r="B155" s="216">
        <v>0</v>
      </c>
      <c r="C155" s="217">
        <v>7.1446133910244155E-4</v>
      </c>
      <c r="D155" s="217">
        <v>0.1446737719402002</v>
      </c>
      <c r="E155" s="217">
        <v>0.30825927319975677</v>
      </c>
      <c r="F155" s="217">
        <v>0.39172903492715538</v>
      </c>
      <c r="G155" s="217">
        <v>0.42920119865991746</v>
      </c>
      <c r="H155" s="217">
        <v>0.44959976403681923</v>
      </c>
      <c r="I155" s="217">
        <v>0.47309773614288536</v>
      </c>
      <c r="J155" s="217">
        <v>0.47955518355004628</v>
      </c>
      <c r="K155" s="217">
        <v>0.48442630463316405</v>
      </c>
      <c r="L155" s="252">
        <v>0.49145466477081956</v>
      </c>
      <c r="M155" s="168">
        <f t="shared" si="94"/>
        <v>9.8041664247198734E-2</v>
      </c>
      <c r="N155" s="170">
        <f t="shared" si="95"/>
        <v>9.1914584176266481E-2</v>
      </c>
      <c r="O155" s="216">
        <v>0</v>
      </c>
      <c r="P155" s="217">
        <v>1.7122353832916904E-3</v>
      </c>
      <c r="Q155" s="217">
        <v>0.19441635166212243</v>
      </c>
      <c r="R155" s="217">
        <v>0.32447870271439777</v>
      </c>
      <c r="S155" s="217">
        <v>0.40594311742132766</v>
      </c>
      <c r="T155" s="217">
        <v>0.43847787660271614</v>
      </c>
      <c r="U155" s="217">
        <v>0.45757256100955446</v>
      </c>
      <c r="V155" s="217">
        <v>0.47309773614288536</v>
      </c>
      <c r="W155" s="217">
        <v>0.47955518355004628</v>
      </c>
      <c r="X155" s="217">
        <v>0.48841112689213101</v>
      </c>
      <c r="Y155" s="252">
        <v>0.49145466477081956</v>
      </c>
      <c r="Z155" s="168">
        <f t="shared" si="96"/>
        <v>0.33798122198857994</v>
      </c>
      <c r="AA155" s="170">
        <f t="shared" si="97"/>
        <v>0.31190882417444854</v>
      </c>
      <c r="AB155" s="795">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796">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069">
        <f t="shared" ref="AD155:AD171" si="107">AB155*AH155+AC155*AI155</f>
        <v>0</v>
      </c>
      <c r="AE155" s="784">
        <f t="shared" si="104"/>
        <v>9.8041664247198734E-2</v>
      </c>
      <c r="AF155" s="784">
        <f t="shared" si="105"/>
        <v>0.33798122198857994</v>
      </c>
      <c r="AG155" s="784">
        <f t="shared" si="106"/>
        <v>0.43602288623577867</v>
      </c>
      <c r="AH155" s="1015">
        <f t="shared" si="102"/>
        <v>0.22485439948714725</v>
      </c>
      <c r="AI155" s="784">
        <f t="shared" si="103"/>
        <v>0.77514560051285275</v>
      </c>
      <c r="AJ155" s="99"/>
      <c r="AK155" s="99"/>
      <c r="AL155" s="99"/>
      <c r="AM155" s="99"/>
    </row>
    <row r="156" spans="1:39" ht="13.5" thickBot="1" x14ac:dyDescent="0.25">
      <c r="A156" s="200">
        <v>2035</v>
      </c>
      <c r="B156" s="218">
        <v>0</v>
      </c>
      <c r="C156" s="219">
        <v>8.5837150033469536E-4</v>
      </c>
      <c r="D156" s="219">
        <v>0.15790554323032047</v>
      </c>
      <c r="E156" s="219">
        <v>0.30956868593966297</v>
      </c>
      <c r="F156" s="219">
        <v>0.39339268046763048</v>
      </c>
      <c r="G156" s="219">
        <v>0.44033986360899213</v>
      </c>
      <c r="H156" s="219">
        <v>0.45951554746760026</v>
      </c>
      <c r="I156" s="219">
        <v>0.47510657128732903</v>
      </c>
      <c r="J156" s="219">
        <v>0.48159140602963441</v>
      </c>
      <c r="K156" s="219">
        <v>0.48648317826711102</v>
      </c>
      <c r="L156" s="253">
        <v>0.49354133405816059</v>
      </c>
      <c r="M156" s="182">
        <f t="shared" si="94"/>
        <v>9.9377297199898837E-2</v>
      </c>
      <c r="N156" s="184">
        <f t="shared" si="95"/>
        <v>9.3237293472174548E-2</v>
      </c>
      <c r="O156" s="218">
        <v>0</v>
      </c>
      <c r="P156" s="219">
        <v>2.4032420384483416E-3</v>
      </c>
      <c r="Q156" s="219">
        <v>0.19524243633653357</v>
      </c>
      <c r="R156" s="219">
        <v>0.32585697764653154</v>
      </c>
      <c r="S156" s="219">
        <v>0.40766709233534587</v>
      </c>
      <c r="T156" s="219">
        <v>0.44033986360899213</v>
      </c>
      <c r="U156" s="219">
        <v>0.4612586546585592</v>
      </c>
      <c r="V156" s="219">
        <v>0.47585134579496013</v>
      </c>
      <c r="W156" s="219">
        <v>0.48648317826711102</v>
      </c>
      <c r="X156" s="219">
        <v>0.49048489373222975</v>
      </c>
      <c r="Y156" s="253">
        <v>0.49354133405816059</v>
      </c>
      <c r="Z156" s="182">
        <f t="shared" si="96"/>
        <v>0.34004988962727034</v>
      </c>
      <c r="AA156" s="184">
        <f t="shared" si="97"/>
        <v>0.31377288299203704</v>
      </c>
      <c r="AB156" s="795">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796">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069">
        <f t="shared" si="107"/>
        <v>0</v>
      </c>
      <c r="AE156" s="784">
        <f t="shared" si="104"/>
        <v>9.9377297199898837E-2</v>
      </c>
      <c r="AF156" s="784">
        <f t="shared" si="105"/>
        <v>0.34004988962727034</v>
      </c>
      <c r="AG156" s="784">
        <f t="shared" si="106"/>
        <v>0.43942718682716919</v>
      </c>
      <c r="AH156" s="1015">
        <f t="shared" si="102"/>
        <v>0.22615190907381172</v>
      </c>
      <c r="AI156" s="784">
        <f t="shared" si="103"/>
        <v>0.77384809092618823</v>
      </c>
      <c r="AJ156" s="99"/>
      <c r="AK156" s="99"/>
      <c r="AL156" s="99"/>
      <c r="AM156" s="99"/>
    </row>
    <row r="157" spans="1:39" x14ac:dyDescent="0.2">
      <c r="A157" s="201">
        <v>2036</v>
      </c>
      <c r="B157" s="214">
        <v>0</v>
      </c>
      <c r="C157" s="215">
        <v>2.4018631035445971E-3</v>
      </c>
      <c r="D157" s="215">
        <v>0.18131726553316552</v>
      </c>
      <c r="E157" s="215">
        <v>0.33903975251078811</v>
      </c>
      <c r="F157" s="215">
        <v>0.40481744564911187</v>
      </c>
      <c r="G157" s="215">
        <v>0.44095534087215843</v>
      </c>
      <c r="H157" s="215">
        <v>0.46015842471934415</v>
      </c>
      <c r="I157" s="215">
        <v>0.47577178878191689</v>
      </c>
      <c r="J157" s="215">
        <v>0.48716477146178633</v>
      </c>
      <c r="K157" s="215">
        <v>0.49117227722060475</v>
      </c>
      <c r="L157" s="251">
        <v>0.4962634824384996</v>
      </c>
      <c r="M157" s="154">
        <f t="shared" si="94"/>
        <v>0.10067257149601934</v>
      </c>
      <c r="N157" s="156">
        <f t="shared" si="95"/>
        <v>9.5024875216677351E-2</v>
      </c>
      <c r="O157" s="214">
        <v>0</v>
      </c>
      <c r="P157" s="215">
        <v>5.3347721639881926E-3</v>
      </c>
      <c r="Q157" s="215">
        <v>0.22291479978618392</v>
      </c>
      <c r="R157" s="215">
        <v>0.35139365952793211</v>
      </c>
      <c r="S157" s="215">
        <v>0.41870512820155154</v>
      </c>
      <c r="T157" s="215">
        <v>0.45214027839617232</v>
      </c>
      <c r="U157" s="215">
        <v>0.46922890694197794</v>
      </c>
      <c r="V157" s="215">
        <v>0.48226592513098709</v>
      </c>
      <c r="W157" s="215">
        <v>0.48716477146178633</v>
      </c>
      <c r="X157" s="215">
        <v>0.49117227722060475</v>
      </c>
      <c r="Y157" s="251">
        <v>0.4962634824384996</v>
      </c>
      <c r="Z157" s="154">
        <f t="shared" si="96"/>
        <v>0.34709021076292818</v>
      </c>
      <c r="AA157" s="156">
        <f t="shared" si="97"/>
        <v>0.32163116973066902</v>
      </c>
      <c r="AB157" s="795">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796">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069">
        <f t="shared" si="107"/>
        <v>0</v>
      </c>
      <c r="AE157" s="784">
        <f t="shared" si="104"/>
        <v>0.10067257149601934</v>
      </c>
      <c r="AF157" s="784">
        <f t="shared" si="105"/>
        <v>0.34709021076292818</v>
      </c>
      <c r="AG157" s="784">
        <f t="shared" si="106"/>
        <v>0.4477627822589475</v>
      </c>
      <c r="AH157" s="1015">
        <f t="shared" si="102"/>
        <v>0.22483461217596012</v>
      </c>
      <c r="AI157" s="784">
        <f t="shared" si="103"/>
        <v>0.77516538782403988</v>
      </c>
      <c r="AJ157" s="99"/>
      <c r="AK157" s="99"/>
      <c r="AL157" s="99"/>
      <c r="AM157" s="99"/>
    </row>
    <row r="158" spans="1:39" x14ac:dyDescent="0.2">
      <c r="A158" s="202">
        <v>2037</v>
      </c>
      <c r="B158" s="216">
        <v>0</v>
      </c>
      <c r="C158" s="217">
        <v>3.3230420353514323E-3</v>
      </c>
      <c r="D158" s="217">
        <v>0.19330576988748738</v>
      </c>
      <c r="E158" s="217">
        <v>0.35155825917659855</v>
      </c>
      <c r="F158" s="217">
        <v>0.41530542626914907</v>
      </c>
      <c r="G158" s="217">
        <v>0.44980981662893577</v>
      </c>
      <c r="H158" s="217">
        <v>0.46764876665651717</v>
      </c>
      <c r="I158" s="217">
        <v>0.48172999039756192</v>
      </c>
      <c r="J158" s="217">
        <v>0.48739549361319889</v>
      </c>
      <c r="K158" s="217">
        <v>0.4914050043002664</v>
      </c>
      <c r="L158" s="252">
        <v>0.49649875913136693</v>
      </c>
      <c r="M158" s="168">
        <f t="shared" si="94"/>
        <v>0.10234665565175959</v>
      </c>
      <c r="N158" s="170">
        <f t="shared" si="95"/>
        <v>9.6899427806379168E-2</v>
      </c>
      <c r="O158" s="216">
        <v>0</v>
      </c>
      <c r="P158" s="217">
        <v>7.210511356402308E-3</v>
      </c>
      <c r="Q158" s="217">
        <v>0.23577200207583091</v>
      </c>
      <c r="R158" s="217">
        <v>0.36349524585035775</v>
      </c>
      <c r="S158" s="217">
        <v>0.42875464240862138</v>
      </c>
      <c r="T158" s="217">
        <v>0.46037581339425665</v>
      </c>
      <c r="U158" s="217">
        <v>0.47599686102481686</v>
      </c>
      <c r="V158" s="217">
        <v>0.48249419879350258</v>
      </c>
      <c r="W158" s="217">
        <v>0.48739549361319889</v>
      </c>
      <c r="X158" s="217">
        <v>0.49446740167570929</v>
      </c>
      <c r="Y158" s="252">
        <v>0.49649875913136693</v>
      </c>
      <c r="Z158" s="168">
        <f t="shared" si="96"/>
        <v>0.35179919792171827</v>
      </c>
      <c r="AA158" s="170">
        <f t="shared" si="97"/>
        <v>0.326812559678888</v>
      </c>
      <c r="AB158" s="795">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796">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069">
        <f t="shared" si="107"/>
        <v>0</v>
      </c>
      <c r="AE158" s="784">
        <f t="shared" si="104"/>
        <v>0.10234665565175959</v>
      </c>
      <c r="AF158" s="784">
        <f t="shared" si="105"/>
        <v>0.35179919792171827</v>
      </c>
      <c r="AG158" s="784">
        <f t="shared" si="106"/>
        <v>0.45414585357347786</v>
      </c>
      <c r="AH158" s="1015">
        <f t="shared" si="102"/>
        <v>0.225360762068921</v>
      </c>
      <c r="AI158" s="784">
        <f t="shared" si="103"/>
        <v>0.77463923793107892</v>
      </c>
      <c r="AJ158" s="99"/>
      <c r="AK158" s="99"/>
      <c r="AL158" s="99"/>
      <c r="AM158" s="99"/>
    </row>
    <row r="159" spans="1:39" x14ac:dyDescent="0.2">
      <c r="A159" s="202">
        <v>2038</v>
      </c>
      <c r="B159" s="216">
        <v>0</v>
      </c>
      <c r="C159" s="217">
        <v>7.1736433365793212E-3</v>
      </c>
      <c r="D159" s="217">
        <v>0.21744183306549411</v>
      </c>
      <c r="E159" s="217">
        <v>0.36351080250506096</v>
      </c>
      <c r="F159" s="217">
        <v>0.42500713859914951</v>
      </c>
      <c r="G159" s="217">
        <v>0.45776310527909286</v>
      </c>
      <c r="H159" s="217">
        <v>0.47416752458723976</v>
      </c>
      <c r="I159" s="217">
        <v>0.48175362262304355</v>
      </c>
      <c r="J159" s="217">
        <v>0.49142943023952157</v>
      </c>
      <c r="K159" s="217">
        <v>0.49449210132661414</v>
      </c>
      <c r="L159" s="252">
        <v>0.49652364117160874</v>
      </c>
      <c r="M159" s="168">
        <f t="shared" si="94"/>
        <v>0.10380342087551182</v>
      </c>
      <c r="N159" s="170">
        <f t="shared" si="95"/>
        <v>9.8648182880924806E-2</v>
      </c>
      <c r="O159" s="216">
        <v>0</v>
      </c>
      <c r="P159" s="217">
        <v>1.2741750220578383E-2</v>
      </c>
      <c r="Q159" s="217">
        <v>0.26118055078066738</v>
      </c>
      <c r="R159" s="217">
        <v>0.37498303826934071</v>
      </c>
      <c r="S159" s="217">
        <v>0.43797534380541536</v>
      </c>
      <c r="T159" s="217">
        <v>0.4676713218600993</v>
      </c>
      <c r="U159" s="217">
        <v>0.47601999233365588</v>
      </c>
      <c r="V159" s="217">
        <v>0.48741956346454185</v>
      </c>
      <c r="W159" s="217">
        <v>0.49142943023952157</v>
      </c>
      <c r="X159" s="217">
        <v>0.49449210132661414</v>
      </c>
      <c r="Y159" s="252">
        <v>0.49652364117160874</v>
      </c>
      <c r="Z159" s="168">
        <f t="shared" si="96"/>
        <v>0.35524624478730149</v>
      </c>
      <c r="AA159" s="170">
        <f t="shared" si="97"/>
        <v>0.33101685461956909</v>
      </c>
      <c r="AB159" s="795">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796">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069">
        <f t="shared" si="107"/>
        <v>0</v>
      </c>
      <c r="AE159" s="784">
        <f t="shared" si="104"/>
        <v>0.10380342087551182</v>
      </c>
      <c r="AF159" s="784">
        <f t="shared" si="105"/>
        <v>0.35524624478730149</v>
      </c>
      <c r="AG159" s="784">
        <f t="shared" si="106"/>
        <v>0.4590496656628133</v>
      </c>
      <c r="AH159" s="1015">
        <f t="shared" si="102"/>
        <v>0.22612677590262917</v>
      </c>
      <c r="AI159" s="784">
        <f t="shared" si="103"/>
        <v>0.77387322409737092</v>
      </c>
      <c r="AJ159" s="99"/>
      <c r="AK159" s="99"/>
      <c r="AL159" s="99"/>
      <c r="AM159" s="99"/>
    </row>
    <row r="160" spans="1:39" x14ac:dyDescent="0.2">
      <c r="A160" s="202">
        <v>2039</v>
      </c>
      <c r="B160" s="216">
        <v>0</v>
      </c>
      <c r="C160" s="217">
        <v>1.451093825758204E-2</v>
      </c>
      <c r="D160" s="217">
        <v>0.24515614597323293</v>
      </c>
      <c r="E160" s="217">
        <v>0.38588156814074376</v>
      </c>
      <c r="F160" s="217">
        <v>0.43789785290271138</v>
      </c>
      <c r="G160" s="217">
        <v>0.46758947607082907</v>
      </c>
      <c r="H160" s="217">
        <v>0.47593692572770741</v>
      </c>
      <c r="I160" s="217">
        <v>0.48733504032235092</v>
      </c>
      <c r="J160" s="217">
        <v>0.49134443069629774</v>
      </c>
      <c r="K160" s="217">
        <v>0.49440674032287002</v>
      </c>
      <c r="L160" s="252">
        <v>0.49725641862518638</v>
      </c>
      <c r="M160" s="168">
        <f t="shared" si="94"/>
        <v>0.10540538762236941</v>
      </c>
      <c r="N160" s="170">
        <f t="shared" si="95"/>
        <v>0.10073164874186186</v>
      </c>
      <c r="O160" s="216">
        <v>0</v>
      </c>
      <c r="P160" s="217">
        <v>2.4440850438089093E-2</v>
      </c>
      <c r="Q160" s="217">
        <v>0.28598845052547045</v>
      </c>
      <c r="R160" s="217">
        <v>0.39025790769729346</v>
      </c>
      <c r="S160" s="217">
        <v>0.44641746876083171</v>
      </c>
      <c r="T160" s="217">
        <v>0.46758947607082907</v>
      </c>
      <c r="U160" s="217">
        <v>0.48166986339713913</v>
      </c>
      <c r="V160" s="217">
        <v>0.49134443069629774</v>
      </c>
      <c r="W160" s="217">
        <v>0.49440674032287002</v>
      </c>
      <c r="X160" s="217">
        <v>0.49440674032287002</v>
      </c>
      <c r="Y160" s="252">
        <v>0.49725641862518638</v>
      </c>
      <c r="Z160" s="168">
        <f t="shared" si="96"/>
        <v>0.35870345987594277</v>
      </c>
      <c r="AA160" s="170">
        <f t="shared" si="97"/>
        <v>0.33524407247449883</v>
      </c>
      <c r="AB160" s="795">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796">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069">
        <f t="shared" si="107"/>
        <v>0</v>
      </c>
      <c r="AE160" s="784">
        <f t="shared" si="104"/>
        <v>0.10540538762236941</v>
      </c>
      <c r="AF160" s="784">
        <f t="shared" si="105"/>
        <v>0.35870345987594277</v>
      </c>
      <c r="AG160" s="784">
        <f t="shared" si="106"/>
        <v>0.46410884749831216</v>
      </c>
      <c r="AH160" s="1015">
        <f t="shared" si="102"/>
        <v>0.22711350621850135</v>
      </c>
      <c r="AI160" s="784">
        <f t="shared" si="103"/>
        <v>0.77288649378149865</v>
      </c>
      <c r="AJ160" s="99"/>
      <c r="AK160" s="99"/>
      <c r="AL160" s="99"/>
      <c r="AM160" s="99"/>
    </row>
    <row r="161" spans="1:48" ht="13.5" thickBot="1" x14ac:dyDescent="0.25">
      <c r="A161" s="200">
        <v>2040</v>
      </c>
      <c r="B161" s="218">
        <v>0</v>
      </c>
      <c r="C161" s="219">
        <v>2.7316458489082568E-2</v>
      </c>
      <c r="D161" s="219">
        <v>0.28150446678326096</v>
      </c>
      <c r="E161" s="219">
        <v>0.39616976138836318</v>
      </c>
      <c r="F161" s="219">
        <v>0.44626217903168147</v>
      </c>
      <c r="G161" s="219">
        <v>0.47392096631815611</v>
      </c>
      <c r="H161" s="219">
        <v>0.481503569156365</v>
      </c>
      <c r="I161" s="219">
        <v>0.49117535092379622</v>
      </c>
      <c r="J161" s="219">
        <v>0.49423681790887641</v>
      </c>
      <c r="K161" s="219">
        <v>0.4962675616381379</v>
      </c>
      <c r="L161" s="253">
        <v>0.49708571442819888</v>
      </c>
      <c r="M161" s="182">
        <f t="shared" si="94"/>
        <v>0.10682776420513296</v>
      </c>
      <c r="N161" s="184">
        <f t="shared" si="95"/>
        <v>0.102497904681945</v>
      </c>
      <c r="O161" s="218">
        <v>0</v>
      </c>
      <c r="P161" s="219">
        <v>4.3452893794434663E-2</v>
      </c>
      <c r="Q161" s="219">
        <v>0.31449667068623122</v>
      </c>
      <c r="R161" s="219">
        <v>0.41087300213316852</v>
      </c>
      <c r="S161" s="219">
        <v>0.45407285278070808</v>
      </c>
      <c r="T161" s="219">
        <v>0.47392096631815611</v>
      </c>
      <c r="U161" s="219">
        <v>0.48638776411351137</v>
      </c>
      <c r="V161" s="219">
        <v>0.49117535092379622</v>
      </c>
      <c r="W161" s="219">
        <v>0.49423681790887641</v>
      </c>
      <c r="X161" s="219">
        <v>0.4962675616381379</v>
      </c>
      <c r="Y161" s="253">
        <v>0.49708571442819888</v>
      </c>
      <c r="Z161" s="182">
        <f t="shared" si="96"/>
        <v>0.36285955673413045</v>
      </c>
      <c r="AA161" s="184">
        <f t="shared" si="97"/>
        <v>0.34061563775920889</v>
      </c>
      <c r="AB161" s="795">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796">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069">
        <f t="shared" si="107"/>
        <v>0</v>
      </c>
      <c r="AE161" s="784">
        <f t="shared" si="104"/>
        <v>0.10682776420513296</v>
      </c>
      <c r="AF161" s="784">
        <f t="shared" si="105"/>
        <v>0.36285955673413045</v>
      </c>
      <c r="AG161" s="784">
        <f t="shared" si="106"/>
        <v>0.46968732093926341</v>
      </c>
      <c r="AH161" s="1015">
        <f t="shared" si="102"/>
        <v>0.22744442833053855</v>
      </c>
      <c r="AI161" s="784">
        <f t="shared" si="103"/>
        <v>0.77255557166946143</v>
      </c>
      <c r="AJ161" s="99"/>
      <c r="AK161" s="99"/>
      <c r="AL161" s="99"/>
      <c r="AM161" s="99"/>
    </row>
    <row r="162" spans="1:48" x14ac:dyDescent="0.2">
      <c r="A162" s="201">
        <v>2041</v>
      </c>
      <c r="B162" s="214">
        <v>0</v>
      </c>
      <c r="C162" s="215">
        <v>4.6860519477193829E-2</v>
      </c>
      <c r="D162" s="215">
        <v>0.3044648607273982</v>
      </c>
      <c r="E162" s="215">
        <v>0.4201364579227127</v>
      </c>
      <c r="F162" s="215">
        <v>0.45383986984723201</v>
      </c>
      <c r="G162" s="215">
        <v>0.47936235632479879</v>
      </c>
      <c r="H162" s="215">
        <v>0.48613934113697765</v>
      </c>
      <c r="I162" s="215">
        <v>0.49398485353505467</v>
      </c>
      <c r="J162" s="215">
        <v>0.49601471446032913</v>
      </c>
      <c r="K162" s="215">
        <v>0.49601471446032913</v>
      </c>
      <c r="L162" s="251">
        <v>0.49683251193606492</v>
      </c>
      <c r="M162" s="154">
        <f t="shared" si="94"/>
        <v>0.1082871347415866</v>
      </c>
      <c r="N162" s="156">
        <f t="shared" si="95"/>
        <v>0.10442905347624551</v>
      </c>
      <c r="O162" s="214">
        <v>0</v>
      </c>
      <c r="P162" s="215">
        <v>6.5141724113502053E-2</v>
      </c>
      <c r="Q162" s="215">
        <v>0.33756094909262774</v>
      </c>
      <c r="R162" s="215">
        <v>0.4201364579227127</v>
      </c>
      <c r="S162" s="215">
        <v>0.46447264155920681</v>
      </c>
      <c r="T162" s="215">
        <v>0.47936235632479879</v>
      </c>
      <c r="U162" s="215">
        <v>0.49013301491951156</v>
      </c>
      <c r="V162" s="215">
        <v>0.49398485353505467</v>
      </c>
      <c r="W162" s="215">
        <v>0.49601471446032913</v>
      </c>
      <c r="X162" s="215">
        <v>0.49683251193606492</v>
      </c>
      <c r="Y162" s="251">
        <v>0.49683251193606492</v>
      </c>
      <c r="Z162" s="154">
        <f t="shared" si="96"/>
        <v>0.36667715239391963</v>
      </c>
      <c r="AA162" s="156">
        <f t="shared" si="97"/>
        <v>0.3453908578262076</v>
      </c>
      <c r="AB162" s="795">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796">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069">
        <f t="shared" si="107"/>
        <v>0</v>
      </c>
      <c r="AE162" s="784">
        <f t="shared" si="104"/>
        <v>0.1082871347415866</v>
      </c>
      <c r="AF162" s="784">
        <f t="shared" si="105"/>
        <v>0.36667715239391963</v>
      </c>
      <c r="AG162" s="784">
        <f t="shared" si="106"/>
        <v>0.4749642871355062</v>
      </c>
      <c r="AH162" s="1015">
        <f t="shared" si="102"/>
        <v>0.22799005667281366</v>
      </c>
      <c r="AI162" s="784">
        <f t="shared" si="103"/>
        <v>0.77200994332718642</v>
      </c>
      <c r="AJ162" s="99"/>
      <c r="AK162" s="99"/>
      <c r="AL162" s="99"/>
      <c r="AM162" s="99"/>
    </row>
    <row r="163" spans="1:48" x14ac:dyDescent="0.2">
      <c r="A163" s="202">
        <v>2042</v>
      </c>
      <c r="B163" s="216">
        <v>0</v>
      </c>
      <c r="C163" s="217">
        <v>7.4585892290381525E-2</v>
      </c>
      <c r="D163" s="217">
        <v>0.33188516020975012</v>
      </c>
      <c r="E163" s="217">
        <v>0.42869184451596315</v>
      </c>
      <c r="F163" s="217">
        <v>0.46060867258098265</v>
      </c>
      <c r="G163" s="217">
        <v>0.4838847819582543</v>
      </c>
      <c r="H163" s="217">
        <v>0.48980814536665063</v>
      </c>
      <c r="I163" s="217">
        <v>0.49365757815441291</v>
      </c>
      <c r="J163" s="217">
        <v>0.49568622808397927</v>
      </c>
      <c r="K163" s="217">
        <v>0.49650353797909175</v>
      </c>
      <c r="L163" s="252">
        <v>0.49645000965219688</v>
      </c>
      <c r="M163" s="168">
        <f t="shared" si="94"/>
        <v>0.10922193189654487</v>
      </c>
      <c r="N163" s="170">
        <f t="shared" si="95"/>
        <v>0.10574632497680157</v>
      </c>
      <c r="O163" s="216">
        <v>0</v>
      </c>
      <c r="P163" s="217">
        <v>9.7946472977648177E-2</v>
      </c>
      <c r="Q163" s="217">
        <v>0.35887274648695006</v>
      </c>
      <c r="R163" s="217">
        <v>0.43686803616904374</v>
      </c>
      <c r="S163" s="217">
        <v>0.47057492670637713</v>
      </c>
      <c r="T163" s="217">
        <v>0.4838847819582543</v>
      </c>
      <c r="U163" s="217">
        <v>0.48980814536665063</v>
      </c>
      <c r="V163" s="217">
        <v>0.49568622808397927</v>
      </c>
      <c r="W163" s="217">
        <v>0.49568622808397927</v>
      </c>
      <c r="X163" s="217">
        <v>0.49650353797909175</v>
      </c>
      <c r="Y163" s="252">
        <v>0.49607604375606695</v>
      </c>
      <c r="Z163" s="168">
        <f t="shared" si="96"/>
        <v>0.36909314302654683</v>
      </c>
      <c r="AA163" s="170">
        <f t="shared" si="97"/>
        <v>0.3491825989524121</v>
      </c>
      <c r="AB163" s="795">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796">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069">
        <f t="shared" si="107"/>
        <v>0</v>
      </c>
      <c r="AE163" s="784">
        <f t="shared" si="104"/>
        <v>0.10922193189654487</v>
      </c>
      <c r="AF163" s="784">
        <f t="shared" si="105"/>
        <v>0.36909314302654683</v>
      </c>
      <c r="AG163" s="784">
        <f t="shared" si="106"/>
        <v>0.47831507492309172</v>
      </c>
      <c r="AH163" s="1015">
        <f t="shared" si="102"/>
        <v>0.22834724979994969</v>
      </c>
      <c r="AI163" s="784">
        <f t="shared" si="103"/>
        <v>0.77165275020005031</v>
      </c>
      <c r="AJ163" s="99"/>
      <c r="AK163" s="99"/>
      <c r="AL163" s="99"/>
      <c r="AM163" s="99"/>
    </row>
    <row r="164" spans="1:48" x14ac:dyDescent="0.2">
      <c r="A164" s="202">
        <v>2043</v>
      </c>
      <c r="B164" s="216">
        <v>0</v>
      </c>
      <c r="C164" s="217">
        <v>9.321343030677702E-2</v>
      </c>
      <c r="D164" s="217">
        <v>0.35244257785114752</v>
      </c>
      <c r="E164" s="217">
        <v>0.43653460389436977</v>
      </c>
      <c r="F164" s="217">
        <v>0.4665653972789936</v>
      </c>
      <c r="G164" s="217">
        <v>0.48351607975008237</v>
      </c>
      <c r="H164" s="217">
        <v>0.49248123681869033</v>
      </c>
      <c r="I164" s="217">
        <v>0.49527246254778451</v>
      </c>
      <c r="J164" s="217">
        <v>0.49553830828675055</v>
      </c>
      <c r="K164" s="217">
        <v>0.49344972159053657</v>
      </c>
      <c r="L164" s="252">
        <v>0.47438668695424335</v>
      </c>
      <c r="M164" s="168">
        <f t="shared" si="94"/>
        <v>0.10956353836677428</v>
      </c>
      <c r="N164" s="170">
        <f t="shared" si="95"/>
        <v>0.10656540013236002</v>
      </c>
      <c r="O164" s="216">
        <v>0</v>
      </c>
      <c r="P164" s="217">
        <v>0.11953231940278693</v>
      </c>
      <c r="Q164" s="217">
        <v>0.37817354765087891</v>
      </c>
      <c r="R164" s="217">
        <v>0.44402172970731707</v>
      </c>
      <c r="S164" s="217">
        <v>0.47582553813358558</v>
      </c>
      <c r="T164" s="217">
        <v>0.48747270103683948</v>
      </c>
      <c r="U164" s="217">
        <v>0.49215645220929893</v>
      </c>
      <c r="V164" s="217">
        <v>0.49275251534092063</v>
      </c>
      <c r="W164" s="217">
        <v>0.48828214565908756</v>
      </c>
      <c r="X164" s="217">
        <v>0.47901186171419402</v>
      </c>
      <c r="Y164" s="252">
        <v>0.45486747399188748</v>
      </c>
      <c r="Z164" s="168">
        <f t="shared" si="96"/>
        <v>0.36815936429957835</v>
      </c>
      <c r="AA164" s="170">
        <f t="shared" si="97"/>
        <v>0.35051606937653484</v>
      </c>
      <c r="AB164" s="795">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796">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069">
        <f t="shared" si="107"/>
        <v>0</v>
      </c>
      <c r="AE164" s="784">
        <f t="shared" si="104"/>
        <v>0.10956353836677428</v>
      </c>
      <c r="AF164" s="784">
        <f t="shared" si="105"/>
        <v>0.36815936429957835</v>
      </c>
      <c r="AG164" s="784">
        <f t="shared" si="106"/>
        <v>0.47772290266635264</v>
      </c>
      <c r="AH164" s="1015">
        <f t="shared" si="102"/>
        <v>0.22934537522747733</v>
      </c>
      <c r="AI164" s="784">
        <f t="shared" si="103"/>
        <v>0.77065462477252267</v>
      </c>
      <c r="AJ164" s="99"/>
      <c r="AK164" s="99"/>
      <c r="AL164" s="99"/>
      <c r="AM164" s="99"/>
    </row>
    <row r="165" spans="1:48" x14ac:dyDescent="0.2">
      <c r="A165" s="202">
        <v>2044</v>
      </c>
      <c r="B165" s="216">
        <v>0</v>
      </c>
      <c r="C165" s="217">
        <v>0.11257149699982986</v>
      </c>
      <c r="D165" s="217">
        <v>0.36186320832214425</v>
      </c>
      <c r="E165" s="217">
        <v>0.44368016204698929</v>
      </c>
      <c r="F165" s="217">
        <v>0.47168534571305737</v>
      </c>
      <c r="G165" s="217">
        <v>0.48589227014356362</v>
      </c>
      <c r="H165" s="217">
        <v>0.48662912197136327</v>
      </c>
      <c r="I165" s="217">
        <v>0.47652697721405285</v>
      </c>
      <c r="J165" s="217">
        <v>0.45626682833706328</v>
      </c>
      <c r="K165" s="217">
        <v>0.43459571433118654</v>
      </c>
      <c r="L165" s="252">
        <v>0.3854638349694598</v>
      </c>
      <c r="M165" s="168">
        <f t="shared" si="94"/>
        <v>0.10671506315049442</v>
      </c>
      <c r="N165" s="170">
        <f t="shared" si="95"/>
        <v>0.10519630381887585</v>
      </c>
      <c r="O165" s="216">
        <v>0</v>
      </c>
      <c r="P165" s="217">
        <v>0.13804931884904814</v>
      </c>
      <c r="Q165" s="217">
        <v>0.38686397638385134</v>
      </c>
      <c r="R165" s="217">
        <v>0.45045553392845616</v>
      </c>
      <c r="S165" s="217">
        <v>0.47891130406500421</v>
      </c>
      <c r="T165" s="217">
        <v>0.47746140476800381</v>
      </c>
      <c r="U165" s="217">
        <v>0.46977257166077724</v>
      </c>
      <c r="V165" s="217">
        <v>0.44899707439268932</v>
      </c>
      <c r="W165" s="217">
        <v>0.42923753300858397</v>
      </c>
      <c r="X165" s="217">
        <v>0.40590421163150087</v>
      </c>
      <c r="Y165" s="252">
        <v>0.3742305804093356</v>
      </c>
      <c r="Z165" s="168">
        <f t="shared" si="96"/>
        <v>0.34914116103044696</v>
      </c>
      <c r="AA165" s="170">
        <f t="shared" si="97"/>
        <v>0.3372215245917225</v>
      </c>
      <c r="AB165" s="795">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796">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069">
        <f t="shared" si="107"/>
        <v>0</v>
      </c>
      <c r="AE165" s="784">
        <f t="shared" si="104"/>
        <v>0.10671506315049442</v>
      </c>
      <c r="AF165" s="784">
        <f t="shared" si="105"/>
        <v>0.34914116103044696</v>
      </c>
      <c r="AG165" s="784">
        <f t="shared" si="106"/>
        <v>0.45585622418094141</v>
      </c>
      <c r="AH165" s="1015">
        <f t="shared" si="102"/>
        <v>0.23409807191342941</v>
      </c>
      <c r="AI165" s="784">
        <f t="shared" si="103"/>
        <v>0.76590192808657054</v>
      </c>
      <c r="AJ165" s="99"/>
      <c r="AK165" s="99"/>
      <c r="AL165" s="99"/>
      <c r="AM165" s="99"/>
    </row>
    <row r="166" spans="1:48" ht="13.5" thickBot="1" x14ac:dyDescent="0.25">
      <c r="A166" s="200">
        <v>2045</v>
      </c>
      <c r="B166" s="218">
        <v>0</v>
      </c>
      <c r="C166" s="219">
        <v>0.12975897621186433</v>
      </c>
      <c r="D166" s="219">
        <v>0.37079504412446551</v>
      </c>
      <c r="E166" s="219">
        <v>0.44918287283367342</v>
      </c>
      <c r="F166" s="219">
        <v>0.46161667906160236</v>
      </c>
      <c r="G166" s="219">
        <v>0.45267953945823997</v>
      </c>
      <c r="H166" s="219">
        <v>0.43158004859702781</v>
      </c>
      <c r="I166" s="219">
        <v>0.40331230582103017</v>
      </c>
      <c r="J166" s="219">
        <v>0.37711367157357473</v>
      </c>
      <c r="K166" s="219">
        <v>0.35833174870217527</v>
      </c>
      <c r="L166" s="253">
        <v>0.32662809785972918</v>
      </c>
      <c r="M166" s="182">
        <f t="shared" si="94"/>
        <v>9.670711114247979E-2</v>
      </c>
      <c r="N166" s="184">
        <f t="shared" si="95"/>
        <v>9.7199332685007772E-2</v>
      </c>
      <c r="O166" s="218">
        <v>0</v>
      </c>
      <c r="P166" s="219">
        <v>0.15324815485228513</v>
      </c>
      <c r="Q166" s="219">
        <v>0.40182432837345383</v>
      </c>
      <c r="R166" s="219">
        <v>0.44989501226456619</v>
      </c>
      <c r="S166" s="219">
        <v>0.45025012171457468</v>
      </c>
      <c r="T166" s="219">
        <v>0.42844836615770338</v>
      </c>
      <c r="U166" s="219">
        <v>0.40032175866449421</v>
      </c>
      <c r="V166" s="219">
        <v>0.37557758964127985</v>
      </c>
      <c r="W166" s="219">
        <v>0.35709325159926736</v>
      </c>
      <c r="X166" s="219">
        <v>0.34275194158421673</v>
      </c>
      <c r="Y166" s="253">
        <v>0.32372072348874165</v>
      </c>
      <c r="Z166" s="182">
        <f t="shared" si="96"/>
        <v>0.30764734814815847</v>
      </c>
      <c r="AA166" s="184">
        <f t="shared" si="97"/>
        <v>0.30161962692529665</v>
      </c>
      <c r="AB166" s="795">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796">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069">
        <f t="shared" si="107"/>
        <v>0</v>
      </c>
      <c r="AE166" s="784">
        <f t="shared" si="104"/>
        <v>9.670711114247979E-2</v>
      </c>
      <c r="AF166" s="784">
        <f t="shared" si="105"/>
        <v>0.30764734814815847</v>
      </c>
      <c r="AG166" s="784">
        <f t="shared" si="106"/>
        <v>0.40435445929063829</v>
      </c>
      <c r="AH166" s="1015">
        <f t="shared" si="102"/>
        <v>0.23916420091454837</v>
      </c>
      <c r="AI166" s="784">
        <f t="shared" si="103"/>
        <v>0.76083579908545151</v>
      </c>
      <c r="AJ166" s="99"/>
      <c r="AK166" s="99"/>
      <c r="AL166" s="99"/>
      <c r="AM166" s="99"/>
    </row>
    <row r="167" spans="1:48" x14ac:dyDescent="0.2">
      <c r="A167" s="201">
        <v>2046</v>
      </c>
      <c r="B167" s="214">
        <v>0</v>
      </c>
      <c r="C167" s="215">
        <v>0.1296888098681887</v>
      </c>
      <c r="D167" s="215">
        <v>0.37038261579517312</v>
      </c>
      <c r="E167" s="215">
        <v>0.43480997931617216</v>
      </c>
      <c r="F167" s="215">
        <v>0.42183371094612121</v>
      </c>
      <c r="G167" s="215">
        <v>0.38996520138583673</v>
      </c>
      <c r="H167" s="215">
        <v>0.36042187446338614</v>
      </c>
      <c r="I167" s="215">
        <v>0.35297363279146304</v>
      </c>
      <c r="J167" s="215">
        <v>0.33191936998377314</v>
      </c>
      <c r="K167" s="215">
        <v>0.32052839272550027</v>
      </c>
      <c r="L167" s="251">
        <v>0.30070313320686531</v>
      </c>
      <c r="M167" s="154">
        <f t="shared" si="94"/>
        <v>8.5086824174332679E-2</v>
      </c>
      <c r="N167" s="156">
        <f t="shared" si="95"/>
        <v>8.6413877086124427E-2</v>
      </c>
      <c r="O167" s="214">
        <v>0</v>
      </c>
      <c r="P167" s="215">
        <v>0.16065901133713253</v>
      </c>
      <c r="Q167" s="215">
        <v>0.39853124964057202</v>
      </c>
      <c r="R167" s="215">
        <v>0.41768852902324805</v>
      </c>
      <c r="S167" s="215">
        <v>0.39524726038446983</v>
      </c>
      <c r="T167" s="215">
        <v>0.36109980716842277</v>
      </c>
      <c r="U167" s="215">
        <v>0.33553608536707968</v>
      </c>
      <c r="V167" s="215">
        <v>0.33451816449071126</v>
      </c>
      <c r="W167" s="215">
        <v>0.32303866778066131</v>
      </c>
      <c r="X167" s="215">
        <v>0.3100663460912832</v>
      </c>
      <c r="Y167" s="251">
        <v>0.29860231922828656</v>
      </c>
      <c r="Z167" s="154">
        <f t="shared" si="96"/>
        <v>0.26689014268339067</v>
      </c>
      <c r="AA167" s="156">
        <f t="shared" si="97"/>
        <v>0.26283892645016343</v>
      </c>
      <c r="AB167" s="795">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796">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069">
        <f t="shared" si="107"/>
        <v>0</v>
      </c>
      <c r="AE167" s="784">
        <f t="shared" si="104"/>
        <v>8.5086824174332679E-2</v>
      </c>
      <c r="AF167" s="784">
        <f t="shared" si="105"/>
        <v>0.26689014268339067</v>
      </c>
      <c r="AG167" s="784">
        <f t="shared" si="106"/>
        <v>0.35197696685772334</v>
      </c>
      <c r="AH167" s="1015">
        <f t="shared" si="102"/>
        <v>0.24173975056932234</v>
      </c>
      <c r="AI167" s="784">
        <f t="shared" si="103"/>
        <v>0.75826024943067771</v>
      </c>
      <c r="AJ167" s="99"/>
      <c r="AK167" s="99"/>
      <c r="AL167" s="99"/>
      <c r="AM167" s="99"/>
    </row>
    <row r="168" spans="1:48" x14ac:dyDescent="0.2">
      <c r="A168" s="202">
        <v>2047</v>
      </c>
      <c r="B168" s="216">
        <v>0</v>
      </c>
      <c r="C168" s="217">
        <v>0.13640665730291379</v>
      </c>
      <c r="D168" s="217">
        <v>0.37501516165400633</v>
      </c>
      <c r="E168" s="217">
        <v>0.39772447454978815</v>
      </c>
      <c r="F168" s="217">
        <v>0.36535663519492689</v>
      </c>
      <c r="G168" s="217">
        <v>0.33284825903432069</v>
      </c>
      <c r="H168" s="217">
        <v>0.31065680019201464</v>
      </c>
      <c r="I168" s="217">
        <v>0.3191236359075556</v>
      </c>
      <c r="J168" s="217">
        <v>0.305974941888984</v>
      </c>
      <c r="K168" s="217">
        <v>0.29652134781080486</v>
      </c>
      <c r="L168" s="252">
        <v>0.2847627648284547</v>
      </c>
      <c r="M168" s="168">
        <f t="shared" si="94"/>
        <v>7.526839304954841E-2</v>
      </c>
      <c r="N168" s="170">
        <f t="shared" si="95"/>
        <v>7.6607368559725636E-2</v>
      </c>
      <c r="O168" s="216">
        <v>0</v>
      </c>
      <c r="P168" s="217">
        <v>0.16059571165965986</v>
      </c>
      <c r="Q168" s="217">
        <v>0.39105023867915462</v>
      </c>
      <c r="R168" s="217">
        <v>0.38320234652331669</v>
      </c>
      <c r="S168" s="217">
        <v>0.34053189066266681</v>
      </c>
      <c r="T168" s="217">
        <v>0.31307233459108963</v>
      </c>
      <c r="U168" s="217">
        <v>0.29224746717467515</v>
      </c>
      <c r="V168" s="217">
        <v>0.3084147509471033</v>
      </c>
      <c r="W168" s="217">
        <v>0.29878841245031185</v>
      </c>
      <c r="X168" s="217">
        <v>0.29226141011166934</v>
      </c>
      <c r="Y168" s="252">
        <v>0.2847627648284547</v>
      </c>
      <c r="Z168" s="168">
        <f t="shared" si="96"/>
        <v>0.23742171915721508</v>
      </c>
      <c r="AA168" s="170">
        <f t="shared" si="97"/>
        <v>0.23373520886754554</v>
      </c>
      <c r="AB168" s="795">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796">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069">
        <f t="shared" si="107"/>
        <v>0</v>
      </c>
      <c r="AE168" s="784">
        <f t="shared" si="104"/>
        <v>7.526839304954841E-2</v>
      </c>
      <c r="AF168" s="784">
        <f t="shared" si="105"/>
        <v>0.23742171915721508</v>
      </c>
      <c r="AG168" s="784">
        <f t="shared" si="106"/>
        <v>0.31269011220676346</v>
      </c>
      <c r="AH168" s="1015">
        <f t="shared" si="102"/>
        <v>0.2407124181777065</v>
      </c>
      <c r="AI168" s="784">
        <f t="shared" si="103"/>
        <v>0.75928758182229361</v>
      </c>
      <c r="AJ168" s="99"/>
      <c r="AK168" s="99"/>
      <c r="AL168" s="99"/>
      <c r="AM168" s="99"/>
    </row>
    <row r="169" spans="1:48" x14ac:dyDescent="0.2">
      <c r="A169" s="202">
        <v>2048</v>
      </c>
      <c r="B169" s="216">
        <v>1.7699131317232004E-4</v>
      </c>
      <c r="C169" s="217">
        <v>0.14302745821133792</v>
      </c>
      <c r="D169" s="217">
        <v>0.36186167055971463</v>
      </c>
      <c r="E169" s="217">
        <v>0.35439327432907264</v>
      </c>
      <c r="F169" s="217">
        <v>0.32606887353082398</v>
      </c>
      <c r="G169" s="217">
        <v>0.29811771154890115</v>
      </c>
      <c r="H169" s="217">
        <v>0.27938743231533081</v>
      </c>
      <c r="I169" s="217">
        <v>0.30340355879971909</v>
      </c>
      <c r="J169" s="217">
        <v>0.29389588530871258</v>
      </c>
      <c r="K169" s="217">
        <v>0.28566725604111165</v>
      </c>
      <c r="L169" s="252">
        <v>0.27713268827312348</v>
      </c>
      <c r="M169" s="168">
        <f t="shared" si="94"/>
        <v>6.8837341771744151E-2</v>
      </c>
      <c r="N169" s="170">
        <f t="shared" si="95"/>
        <v>6.9765150823861116E-2</v>
      </c>
      <c r="O169" s="216">
        <v>0</v>
      </c>
      <c r="P169" s="217">
        <v>0.16789594926571716</v>
      </c>
      <c r="Q169" s="217">
        <v>0.36501235671671511</v>
      </c>
      <c r="R169" s="217">
        <v>0.34046820153625929</v>
      </c>
      <c r="S169" s="217">
        <v>0.30706073452048188</v>
      </c>
      <c r="T169" s="217">
        <v>0.28171373921156062</v>
      </c>
      <c r="U169" s="217">
        <v>0.26735253032645473</v>
      </c>
      <c r="V169" s="217">
        <v>0.2961944845233464</v>
      </c>
      <c r="W169" s="217">
        <v>0.28775413324840893</v>
      </c>
      <c r="X169" s="217">
        <v>0.28207542422455284</v>
      </c>
      <c r="Y169" s="252">
        <v>0.27602460553666702</v>
      </c>
      <c r="Z169" s="168">
        <f t="shared" si="96"/>
        <v>0.21888654703188543</v>
      </c>
      <c r="AA169" s="170">
        <f t="shared" si="97"/>
        <v>0.21462854642518742</v>
      </c>
      <c r="AB169" s="795">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796">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069">
        <f t="shared" si="107"/>
        <v>0</v>
      </c>
      <c r="AE169" s="784">
        <f t="shared" si="104"/>
        <v>6.8837341771744151E-2</v>
      </c>
      <c r="AF169" s="784">
        <f t="shared" si="105"/>
        <v>0.21888654703188543</v>
      </c>
      <c r="AG169" s="784">
        <f t="shared" si="106"/>
        <v>0.28772388880362959</v>
      </c>
      <c r="AH169" s="1015">
        <f t="shared" si="102"/>
        <v>0.23924791944795853</v>
      </c>
      <c r="AI169" s="784">
        <f t="shared" si="103"/>
        <v>0.76075208055204147</v>
      </c>
      <c r="AJ169" s="99"/>
      <c r="AK169" s="99"/>
      <c r="AL169" s="99"/>
      <c r="AM169" s="99"/>
    </row>
    <row r="170" spans="1:48" x14ac:dyDescent="0.2">
      <c r="A170" s="202">
        <v>2049</v>
      </c>
      <c r="B170" s="216">
        <v>2.0380565354089652E-4</v>
      </c>
      <c r="C170" s="217">
        <v>0.14300224087119542</v>
      </c>
      <c r="D170" s="217">
        <v>0.34578905423112372</v>
      </c>
      <c r="E170" s="217">
        <v>0.33081616908893319</v>
      </c>
      <c r="F170" s="217">
        <v>0.30154833256847186</v>
      </c>
      <c r="G170" s="217">
        <v>0.27977696580876171</v>
      </c>
      <c r="H170" s="217">
        <v>0.26456199554344079</v>
      </c>
      <c r="I170" s="217">
        <v>0.29459479039034719</v>
      </c>
      <c r="J170" s="217">
        <v>0.28612571276483512</v>
      </c>
      <c r="K170" s="217">
        <v>0.28041950675127042</v>
      </c>
      <c r="L170" s="252">
        <v>0.27192317261858001</v>
      </c>
      <c r="M170" s="168">
        <f t="shared" si="94"/>
        <v>6.5335452235691399E-2</v>
      </c>
      <c r="N170" s="170">
        <f t="shared" si="95"/>
        <v>6.5950156524483369E-2</v>
      </c>
      <c r="O170" s="216">
        <v>0</v>
      </c>
      <c r="P170" s="217">
        <v>0.16762897222082021</v>
      </c>
      <c r="Q170" s="217">
        <v>0.34304079884225341</v>
      </c>
      <c r="R170" s="217">
        <v>0.31563757811225313</v>
      </c>
      <c r="S170" s="217">
        <v>0.28355573838615705</v>
      </c>
      <c r="T170" s="217">
        <v>0.26481684307189796</v>
      </c>
      <c r="U170" s="217">
        <v>0.2537616225564937</v>
      </c>
      <c r="V170" s="217">
        <v>0.2883119795416485</v>
      </c>
      <c r="W170" s="217">
        <v>0.28240340291867988</v>
      </c>
      <c r="X170" s="217">
        <v>0.2771890775283643</v>
      </c>
      <c r="Y170" s="252">
        <v>0.27192317261858001</v>
      </c>
      <c r="Z170" s="168">
        <f t="shared" si="96"/>
        <v>0.20816089650403724</v>
      </c>
      <c r="AA170" s="170">
        <f t="shared" si="97"/>
        <v>0.20326732298396516</v>
      </c>
      <c r="AB170" s="795">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796">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069">
        <f t="shared" si="107"/>
        <v>0</v>
      </c>
      <c r="AE170" s="784">
        <f t="shared" si="104"/>
        <v>6.5335452235691399E-2</v>
      </c>
      <c r="AF170" s="784">
        <f t="shared" si="105"/>
        <v>0.20816089650403724</v>
      </c>
      <c r="AG170" s="784">
        <f t="shared" si="106"/>
        <v>0.27349634873972861</v>
      </c>
      <c r="AH170" s="1015">
        <f t="shared" si="102"/>
        <v>0.23888966904588385</v>
      </c>
      <c r="AI170" s="784">
        <f t="shared" si="103"/>
        <v>0.76111033095411629</v>
      </c>
      <c r="AJ170" s="99"/>
      <c r="AK170" s="99"/>
      <c r="AL170" s="99"/>
      <c r="AM170" s="99"/>
    </row>
    <row r="171" spans="1:48" ht="13.5" thickBot="1" x14ac:dyDescent="0.25">
      <c r="A171" s="200">
        <v>2050</v>
      </c>
      <c r="B171" s="218">
        <v>2.326080272546354E-4</v>
      </c>
      <c r="C171" s="219">
        <v>0.14906862193782899</v>
      </c>
      <c r="D171" s="219">
        <v>0.31929581063545753</v>
      </c>
      <c r="E171" s="219">
        <v>0.2911744106535758</v>
      </c>
      <c r="F171" s="219">
        <v>0.26965089721079671</v>
      </c>
      <c r="G171" s="219">
        <v>0.25513095198728414</v>
      </c>
      <c r="H171" s="219">
        <v>0.24585048874472812</v>
      </c>
      <c r="I171" s="219">
        <v>0.28358785363991995</v>
      </c>
      <c r="J171" s="219">
        <v>0.27647182516313273</v>
      </c>
      <c r="K171" s="219">
        <v>0.27348109604964865</v>
      </c>
      <c r="L171" s="253">
        <v>0.267305433179441</v>
      </c>
      <c r="M171" s="182">
        <f t="shared" si="94"/>
        <v>6.0664756740025694E-2</v>
      </c>
      <c r="N171" s="184">
        <f t="shared" si="95"/>
        <v>6.0737297266287862E-2</v>
      </c>
      <c r="O171" s="218">
        <v>1.3192706966093197E-4</v>
      </c>
      <c r="P171" s="219">
        <v>0.17298183346354232</v>
      </c>
      <c r="Q171" s="219">
        <v>0.30367744490305248</v>
      </c>
      <c r="R171" s="219">
        <v>0.27911630662502834</v>
      </c>
      <c r="S171" s="219">
        <v>0.26014367162729274</v>
      </c>
      <c r="T171" s="219">
        <v>0.24773731947144409</v>
      </c>
      <c r="U171" s="219">
        <v>0.23832153494367436</v>
      </c>
      <c r="V171" s="219">
        <v>0.27984683654406195</v>
      </c>
      <c r="W171" s="219">
        <v>0.27348109604964865</v>
      </c>
      <c r="X171" s="219">
        <v>0.2708960012481193</v>
      </c>
      <c r="Y171" s="253">
        <v>0.267305433179441</v>
      </c>
      <c r="Z171" s="182">
        <f t="shared" si="96"/>
        <v>0.1961287674997145</v>
      </c>
      <c r="AA171" s="184">
        <f t="shared" si="97"/>
        <v>0.19034064958988925</v>
      </c>
      <c r="AB171" s="797">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798">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070">
        <f t="shared" si="107"/>
        <v>0</v>
      </c>
      <c r="AE171" s="784">
        <f t="shared" si="104"/>
        <v>6.0664756740025694E-2</v>
      </c>
      <c r="AF171" s="784">
        <f t="shared" si="105"/>
        <v>0.1961287674997145</v>
      </c>
      <c r="AG171" s="784">
        <f t="shared" si="106"/>
        <v>0.25679352423974022</v>
      </c>
      <c r="AH171" s="1015">
        <f t="shared" si="102"/>
        <v>0.23623943368365316</v>
      </c>
      <c r="AI171" s="784">
        <f t="shared" si="103"/>
        <v>0.7637605663163467</v>
      </c>
      <c r="AJ171" s="99"/>
      <c r="AK171" s="99"/>
      <c r="AL171" s="99"/>
      <c r="AM171" s="99"/>
    </row>
    <row r="172" spans="1:48" x14ac:dyDescent="0.2">
      <c r="B172" s="99" t="str">
        <f>B$120</f>
        <v>Output generated: 11/04/2020 14:47</v>
      </c>
      <c r="O172" s="99" t="str">
        <f>U$120</f>
        <v>Output generated: 11/04/2020 14:47</v>
      </c>
      <c r="W172" s="195"/>
      <c r="X172" s="195"/>
      <c r="Y172" s="195"/>
      <c r="AE172" s="784"/>
      <c r="AF172" s="784"/>
      <c r="AG172" s="784"/>
      <c r="AH172" s="784"/>
      <c r="AI172" s="784"/>
      <c r="AJ172" s="99"/>
      <c r="AK172" s="99"/>
      <c r="AL172" s="99"/>
      <c r="AM172" s="99"/>
    </row>
    <row r="173" spans="1:48" ht="13.5" thickBot="1" x14ac:dyDescent="0.25">
      <c r="W173" s="195"/>
      <c r="X173" s="195"/>
      <c r="Y173" s="195"/>
      <c r="AE173" s="784"/>
      <c r="AF173" s="784"/>
      <c r="AG173" s="784"/>
      <c r="AH173" s="784"/>
      <c r="AI173" s="784"/>
      <c r="AJ173" s="99"/>
      <c r="AK173" s="99"/>
      <c r="AL173" s="99"/>
      <c r="AM173" s="99"/>
    </row>
    <row r="174" spans="1:48" ht="15" x14ac:dyDescent="0.25">
      <c r="A174" s="205"/>
      <c r="B174" s="1539" t="s">
        <v>191</v>
      </c>
      <c r="C174" s="1540"/>
      <c r="D174" s="1540"/>
      <c r="E174" s="1540"/>
      <c r="F174" s="1540"/>
      <c r="G174" s="1540"/>
      <c r="H174" s="1540"/>
      <c r="I174" s="1540"/>
      <c r="J174" s="1540"/>
      <c r="K174" s="1540"/>
      <c r="L174" s="1540"/>
      <c r="M174" s="1540"/>
      <c r="N174" s="1541"/>
      <c r="O174" s="1539" t="s">
        <v>192</v>
      </c>
      <c r="P174" s="1540"/>
      <c r="Q174" s="1540"/>
      <c r="R174" s="1540"/>
      <c r="S174" s="1540"/>
      <c r="T174" s="1540"/>
      <c r="U174" s="1540"/>
      <c r="V174" s="1540"/>
      <c r="W174" s="1540"/>
      <c r="X174" s="1540"/>
      <c r="Y174" s="1540"/>
      <c r="Z174" s="1540"/>
      <c r="AA174" s="1541"/>
      <c r="AE174" s="784"/>
      <c r="AF174" s="784"/>
      <c r="AG174" s="784"/>
      <c r="AH174" s="784"/>
      <c r="AI174" s="784"/>
      <c r="AJ174" s="99"/>
      <c r="AK174" s="99"/>
      <c r="AL174" s="99"/>
      <c r="AM174" s="99"/>
    </row>
    <row r="175" spans="1:48" x14ac:dyDescent="0.2">
      <c r="A175" s="196"/>
      <c r="B175" s="1536" t="s">
        <v>121</v>
      </c>
      <c r="C175" s="1537"/>
      <c r="D175" s="1537"/>
      <c r="E175" s="1537"/>
      <c r="F175" s="1537"/>
      <c r="G175" s="1537"/>
      <c r="H175" s="1537"/>
      <c r="I175" s="1537"/>
      <c r="J175" s="1537"/>
      <c r="K175" s="1537"/>
      <c r="L175" s="1538"/>
      <c r="M175" s="254"/>
      <c r="N175" s="197"/>
      <c r="O175" s="1536" t="s">
        <v>121</v>
      </c>
      <c r="P175" s="1537"/>
      <c r="Q175" s="1537"/>
      <c r="R175" s="1537"/>
      <c r="S175" s="1537"/>
      <c r="T175" s="1537"/>
      <c r="U175" s="1537"/>
      <c r="V175" s="1537"/>
      <c r="W175" s="1537"/>
      <c r="X175" s="1537"/>
      <c r="Y175" s="1538"/>
      <c r="Z175" s="254"/>
      <c r="AA175" s="197"/>
      <c r="AE175" s="784"/>
      <c r="AF175" s="784"/>
      <c r="AG175" s="784"/>
      <c r="AH175" s="784"/>
      <c r="AI175" s="784"/>
      <c r="AJ175" s="99"/>
      <c r="AK175" s="99"/>
      <c r="AL175" s="99"/>
      <c r="AM175" s="99"/>
    </row>
    <row r="176" spans="1:48" ht="13.5" thickBot="1" x14ac:dyDescent="0.25">
      <c r="A176" s="203"/>
      <c r="B176" s="210" t="s">
        <v>28</v>
      </c>
      <c r="C176" s="211" t="s">
        <v>29</v>
      </c>
      <c r="D176" s="211" t="s">
        <v>30</v>
      </c>
      <c r="E176" s="211" t="s">
        <v>31</v>
      </c>
      <c r="F176" s="211" t="s">
        <v>32</v>
      </c>
      <c r="G176" s="211" t="s">
        <v>33</v>
      </c>
      <c r="H176" s="211" t="s">
        <v>34</v>
      </c>
      <c r="I176" s="211" t="s">
        <v>35</v>
      </c>
      <c r="J176" s="211" t="s">
        <v>36</v>
      </c>
      <c r="K176" s="211" t="s">
        <v>37</v>
      </c>
      <c r="L176" s="249" t="s">
        <v>38</v>
      </c>
      <c r="M176" s="255" t="s">
        <v>122</v>
      </c>
      <c r="N176" s="204" t="s">
        <v>123</v>
      </c>
      <c r="O176" s="210" t="s">
        <v>28</v>
      </c>
      <c r="P176" s="211" t="s">
        <v>29</v>
      </c>
      <c r="Q176" s="211" t="s">
        <v>30</v>
      </c>
      <c r="R176" s="211" t="s">
        <v>31</v>
      </c>
      <c r="S176" s="211" t="s">
        <v>32</v>
      </c>
      <c r="T176" s="211" t="s">
        <v>33</v>
      </c>
      <c r="U176" s="211" t="s">
        <v>34</v>
      </c>
      <c r="V176" s="211" t="s">
        <v>35</v>
      </c>
      <c r="W176" s="211" t="s">
        <v>36</v>
      </c>
      <c r="X176" s="211" t="s">
        <v>37</v>
      </c>
      <c r="Y176" s="249" t="s">
        <v>38</v>
      </c>
      <c r="Z176" s="255" t="s">
        <v>122</v>
      </c>
      <c r="AA176" s="204" t="s">
        <v>123</v>
      </c>
      <c r="AC176" s="750" t="s">
        <v>267</v>
      </c>
      <c r="AD176" s="106" t="b">
        <f>INDEX(TECH_OPT_FUEL2_Cls1,MATCH(RIGHT(O174),TECH_OPT_ROWS_Cls1,0))&lt;&gt;"N/A"</f>
        <v>0</v>
      </c>
      <c r="AE176" s="784"/>
      <c r="AF176" s="784"/>
      <c r="AG176" s="784"/>
      <c r="AH176" s="784"/>
      <c r="AI176" s="784"/>
      <c r="AJ176" s="99"/>
      <c r="AK176"/>
      <c r="AL176"/>
      <c r="AM176"/>
      <c r="AN176"/>
      <c r="AO176"/>
      <c r="AP176"/>
      <c r="AQ176"/>
      <c r="AR176"/>
      <c r="AS176"/>
      <c r="AT176"/>
      <c r="AU176"/>
      <c r="AV176"/>
    </row>
    <row r="177" spans="1:48" ht="14.25" thickTop="1" thickBot="1" x14ac:dyDescent="0.25">
      <c r="A177" s="220" t="s">
        <v>124</v>
      </c>
      <c r="B177" s="212">
        <f t="array" ref="B177:L177">TRANSPOSE(Cls1CentTruckShr)</f>
        <v>7.9460669190030697E-3</v>
      </c>
      <c r="C177" s="213">
        <v>4.9615201402207001E-3</v>
      </c>
      <c r="D177" s="213">
        <v>9.2815995818941767E-3</v>
      </c>
      <c r="E177" s="213">
        <v>3.0833513121077051E-2</v>
      </c>
      <c r="F177" s="213">
        <v>4.3269302277925595E-2</v>
      </c>
      <c r="G177" s="213">
        <v>2.8144935330937017E-2</v>
      </c>
      <c r="H177" s="213">
        <v>6.8990329765143715E-2</v>
      </c>
      <c r="I177" s="213">
        <v>2.4926184998997059E-2</v>
      </c>
      <c r="J177" s="213">
        <v>7.8890239376675012E-3</v>
      </c>
      <c r="K177" s="213">
        <v>3.6046105934191604E-3</v>
      </c>
      <c r="L177" s="250">
        <v>7.5162351043371062E-3</v>
      </c>
      <c r="M177" s="257"/>
      <c r="N177" s="206"/>
      <c r="O177" s="212">
        <f t="array" ref="O177:Y177">TRANSPOSE(Cls1NCentTruckShr)</f>
        <v>1.2963682068270432E-2</v>
      </c>
      <c r="P177" s="213">
        <v>2.3837141813212878E-2</v>
      </c>
      <c r="Q177" s="213">
        <v>2.5768680683356839E-2</v>
      </c>
      <c r="R177" s="213">
        <v>5.7965433078982248E-2</v>
      </c>
      <c r="S177" s="213">
        <v>0.10312619102844889</v>
      </c>
      <c r="T177" s="213">
        <v>0.18550667796975542</v>
      </c>
      <c r="U177" s="213">
        <v>0.21310728355070049</v>
      </c>
      <c r="V177" s="213">
        <v>7.3364250696428643E-2</v>
      </c>
      <c r="W177" s="213">
        <v>1.9856733825595378E-2</v>
      </c>
      <c r="X177" s="213">
        <v>2.1261216059795113E-2</v>
      </c>
      <c r="Y177" s="250">
        <v>2.5879387454831333E-2</v>
      </c>
      <c r="Z177" s="257"/>
      <c r="AA177" s="206"/>
      <c r="AB177" s="783"/>
      <c r="AC177" s="750" t="s">
        <v>268</v>
      </c>
      <c r="AD177" s="106">
        <f>MATCH(RIGHT(O174),TECH_OPT_ROWS_Cls1,0)</f>
        <v>4</v>
      </c>
      <c r="AE177" s="784"/>
      <c r="AF177" s="784"/>
      <c r="AG177" s="784"/>
      <c r="AH177" s="784"/>
      <c r="AI177" s="784"/>
      <c r="AJ177" s="99"/>
      <c r="AK177"/>
      <c r="AL177"/>
      <c r="AM177"/>
      <c r="AN177"/>
      <c r="AO177"/>
      <c r="AP177"/>
      <c r="AQ177"/>
      <c r="AR177"/>
      <c r="AS177"/>
      <c r="AT177"/>
      <c r="AU177"/>
      <c r="AV177"/>
    </row>
    <row r="178" spans="1:48" x14ac:dyDescent="0.2">
      <c r="A178" s="203" t="s">
        <v>125</v>
      </c>
      <c r="B178" s="770">
        <f t="array" ref="B178:L178">TRANSPOSE(Cls1CentVMTShr)</f>
        <v>8.9762242961142352E-4</v>
      </c>
      <c r="C178" s="771">
        <v>1.2044238150123706E-3</v>
      </c>
      <c r="D178" s="771">
        <v>4.1499109643594731E-3</v>
      </c>
      <c r="E178" s="771">
        <v>1.9575808105519295E-2</v>
      </c>
      <c r="F178" s="771">
        <v>3.4523467949689302E-2</v>
      </c>
      <c r="G178" s="771">
        <v>2.7311948935134379E-2</v>
      </c>
      <c r="H178" s="771">
        <v>7.6478458482655817E-2</v>
      </c>
      <c r="I178" s="771">
        <v>3.2480526319280681E-2</v>
      </c>
      <c r="J178" s="771">
        <v>1.1772940427842455E-2</v>
      </c>
      <c r="K178" s="771">
        <v>6.0339283082965706E-3</v>
      </c>
      <c r="L178" s="772">
        <v>1.5952440951210019E-2</v>
      </c>
      <c r="M178" s="773"/>
      <c r="N178" s="774"/>
      <c r="O178" s="775">
        <f t="array" ref="O178:Y178">TRANSPOSE(Cls1NCentVMTShr)</f>
        <v>1.3589913425833078E-3</v>
      </c>
      <c r="P178" s="776">
        <v>5.8692629772239642E-3</v>
      </c>
      <c r="Q178" s="776">
        <v>1.2100393581509007E-2</v>
      </c>
      <c r="R178" s="776">
        <v>3.6555003327388577E-2</v>
      </c>
      <c r="S178" s="776">
        <v>8.3148735051829181E-2</v>
      </c>
      <c r="T178" s="776">
        <v>0.18151138394047112</v>
      </c>
      <c r="U178" s="776">
        <v>0.2383386372324876</v>
      </c>
      <c r="V178" s="776">
        <v>9.5602564448196578E-2</v>
      </c>
      <c r="W178" s="776">
        <v>2.9193025028929166E-2</v>
      </c>
      <c r="X178" s="776">
        <v>3.5209492159336005E-2</v>
      </c>
      <c r="Y178" s="777">
        <v>5.0731034221433824E-2</v>
      </c>
      <c r="Z178" s="773"/>
      <c r="AA178" s="774"/>
      <c r="AB178" s="1552" t="str">
        <f>"% of miles on f2 for Tech "&amp; RIGHT(O174)&amp;" adopters"</f>
        <v>% of miles on f2 for Tech C adopters</v>
      </c>
      <c r="AC178" s="1553"/>
      <c r="AD178" s="1554"/>
      <c r="AE178" s="784" t="s">
        <v>300</v>
      </c>
      <c r="AF178" s="784"/>
      <c r="AG178" s="784"/>
      <c r="AH178" s="1015" t="s">
        <v>306</v>
      </c>
      <c r="AI178" s="784"/>
      <c r="AJ178" s="676"/>
      <c r="AK178"/>
      <c r="AL178"/>
      <c r="AM178"/>
      <c r="AN178"/>
      <c r="AO178"/>
      <c r="AP178"/>
      <c r="AQ178"/>
      <c r="AR178"/>
      <c r="AS178"/>
      <c r="AT178"/>
      <c r="AU178"/>
      <c r="AV178"/>
    </row>
    <row r="179" spans="1:48" ht="13.5" thickBot="1" x14ac:dyDescent="0.25">
      <c r="A179" s="203" t="s">
        <v>266</v>
      </c>
      <c r="B179" s="780">
        <f t="array" ref="B179:L179">TRANSPOSE(Cls1CentVMT/OPDAYS_Cls1)</f>
        <v>51.642967609234425</v>
      </c>
      <c r="C179" s="781">
        <v>110.97733417848234</v>
      </c>
      <c r="D179" s="781">
        <v>204.40224583551472</v>
      </c>
      <c r="E179" s="781">
        <v>290.24610572847212</v>
      </c>
      <c r="F179" s="781">
        <v>364.75750419264841</v>
      </c>
      <c r="G179" s="781">
        <v>443.63126889109378</v>
      </c>
      <c r="H179" s="781">
        <v>506.78134229373978</v>
      </c>
      <c r="I179" s="781">
        <v>595.71283413609137</v>
      </c>
      <c r="J179" s="781">
        <v>682.23089916089702</v>
      </c>
      <c r="K179" s="781">
        <v>765.26438827532684</v>
      </c>
      <c r="L179" s="782">
        <v>970.27871027310334</v>
      </c>
      <c r="M179" s="778"/>
      <c r="N179" s="779"/>
      <c r="O179" s="780">
        <f t="array" ref="O179:Y179">TRANSPOSE(Cls1NCentVMT/OPDAYS_Cls1)</f>
        <v>47.924548633512046</v>
      </c>
      <c r="P179" s="781">
        <v>112.56389213862748</v>
      </c>
      <c r="Q179" s="781">
        <v>214.67280220238027</v>
      </c>
      <c r="R179" s="781">
        <v>288.30186744262801</v>
      </c>
      <c r="S179" s="781">
        <v>368.60089210549245</v>
      </c>
      <c r="T179" s="781">
        <v>447.31558789932524</v>
      </c>
      <c r="U179" s="781">
        <v>511.28831950097862</v>
      </c>
      <c r="V179" s="781">
        <v>595.73726658362273</v>
      </c>
      <c r="W179" s="781">
        <v>672.11099195240695</v>
      </c>
      <c r="X179" s="781">
        <v>757.0793017898726</v>
      </c>
      <c r="Y179" s="782">
        <v>896.16800791754974</v>
      </c>
      <c r="Z179" s="778"/>
      <c r="AA179" s="779"/>
      <c r="AB179" s="792" t="s">
        <v>186</v>
      </c>
      <c r="AC179" s="793" t="s">
        <v>15</v>
      </c>
      <c r="AD179" s="794" t="s">
        <v>18</v>
      </c>
      <c r="AE179" s="784" t="s">
        <v>186</v>
      </c>
      <c r="AF179" s="784" t="s">
        <v>15</v>
      </c>
      <c r="AG179" s="784" t="s">
        <v>18</v>
      </c>
      <c r="AH179" s="1015" t="s">
        <v>186</v>
      </c>
      <c r="AI179" s="784" t="s">
        <v>15</v>
      </c>
      <c r="AJ179" s="99"/>
      <c r="AK179"/>
      <c r="AL179"/>
      <c r="AM179"/>
      <c r="AN179"/>
      <c r="AO179"/>
      <c r="AP179"/>
      <c r="AQ179"/>
      <c r="AR179"/>
      <c r="AS179"/>
      <c r="AT179"/>
      <c r="AU179"/>
      <c r="AV179"/>
    </row>
    <row r="180" spans="1:48" ht="13.5" thickTop="1" x14ac:dyDescent="0.2">
      <c r="A180" s="198">
        <v>2007</v>
      </c>
      <c r="B180" s="214">
        <v>0</v>
      </c>
      <c r="C180" s="215">
        <v>0</v>
      </c>
      <c r="D180" s="215">
        <v>0</v>
      </c>
      <c r="E180" s="215">
        <v>0</v>
      </c>
      <c r="F180" s="215">
        <v>0</v>
      </c>
      <c r="G180" s="215">
        <v>0</v>
      </c>
      <c r="H180" s="215">
        <v>0</v>
      </c>
      <c r="I180" s="215">
        <v>0</v>
      </c>
      <c r="J180" s="215">
        <v>0</v>
      </c>
      <c r="K180" s="215">
        <v>0</v>
      </c>
      <c r="L180" s="251">
        <v>0</v>
      </c>
      <c r="M180" s="154">
        <f t="shared" ref="M180:M223" si="108">SUMPRODUCT($B$178:$L$178,$B180:$L180)</f>
        <v>0</v>
      </c>
      <c r="N180" s="156">
        <f t="shared" ref="N180:N223" si="109">SUMPRODUCT($B$177:$L$177,$B180:$L180)</f>
        <v>0</v>
      </c>
      <c r="O180" s="214">
        <v>0</v>
      </c>
      <c r="P180" s="215">
        <v>0</v>
      </c>
      <c r="Q180" s="215">
        <v>0</v>
      </c>
      <c r="R180" s="215">
        <v>0</v>
      </c>
      <c r="S180" s="215">
        <v>0</v>
      </c>
      <c r="T180" s="215">
        <v>0</v>
      </c>
      <c r="U180" s="215">
        <v>0</v>
      </c>
      <c r="V180" s="215">
        <v>0</v>
      </c>
      <c r="W180" s="215">
        <v>0</v>
      </c>
      <c r="X180" s="215">
        <v>0</v>
      </c>
      <c r="Y180" s="251">
        <v>0</v>
      </c>
      <c r="Z180" s="154">
        <f t="shared" ref="Z180:Z223" si="110">SUMPRODUCT($O$178:$Y$178,$O180:$Y180)</f>
        <v>0</v>
      </c>
      <c r="AA180" s="156">
        <f t="shared" ref="AA180:AA223" si="111">SUMPRODUCT($O$177:$Y$177,$O180:$Y180)</f>
        <v>0</v>
      </c>
      <c r="AB180" s="795">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796">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069">
        <f t="shared" ref="AD180:AD205" si="112">AB180*AH180+AC180*AI180</f>
        <v>0</v>
      </c>
      <c r="AE180" s="784">
        <f t="shared" ref="AE180:AE194" si="113">SUMPRODUCT($B$74:$L$74,B180:L180)</f>
        <v>0</v>
      </c>
      <c r="AF180" s="784">
        <f t="shared" ref="AF180:AF194" si="114">SUMPRODUCT($O$74:$Y$74,O180:Y180)</f>
        <v>0</v>
      </c>
      <c r="AG180" s="784">
        <f t="shared" ref="AG180:AG194" si="115">SUM(AE180:AF180)</f>
        <v>0</v>
      </c>
      <c r="AH180" s="1015">
        <f>IF(AG180&gt;0,AE180/AG180,0)</f>
        <v>0</v>
      </c>
      <c r="AI180" s="784">
        <f>IF(AG180&gt;0,AF180/AG180,0)</f>
        <v>0</v>
      </c>
      <c r="AJ180" s="99"/>
      <c r="AK180"/>
      <c r="AL180"/>
      <c r="AM180"/>
      <c r="AN180"/>
      <c r="AO180"/>
      <c r="AP180"/>
      <c r="AQ180"/>
      <c r="AR180"/>
      <c r="AS180"/>
      <c r="AT180"/>
      <c r="AU180"/>
      <c r="AV180"/>
    </row>
    <row r="181" spans="1:48" x14ac:dyDescent="0.2">
      <c r="A181" s="199">
        <v>2008</v>
      </c>
      <c r="B181" s="216">
        <v>0</v>
      </c>
      <c r="C181" s="217">
        <v>0</v>
      </c>
      <c r="D181" s="217">
        <v>0</v>
      </c>
      <c r="E181" s="217">
        <v>0</v>
      </c>
      <c r="F181" s="217">
        <v>0</v>
      </c>
      <c r="G181" s="217">
        <v>0</v>
      </c>
      <c r="H181" s="217">
        <v>0</v>
      </c>
      <c r="I181" s="217">
        <v>0</v>
      </c>
      <c r="J181" s="217">
        <v>0</v>
      </c>
      <c r="K181" s="217">
        <v>0</v>
      </c>
      <c r="L181" s="252">
        <v>0</v>
      </c>
      <c r="M181" s="168">
        <f t="shared" si="108"/>
        <v>0</v>
      </c>
      <c r="N181" s="170">
        <f t="shared" si="109"/>
        <v>0</v>
      </c>
      <c r="O181" s="216">
        <v>0</v>
      </c>
      <c r="P181" s="217">
        <v>0</v>
      </c>
      <c r="Q181" s="217">
        <v>0</v>
      </c>
      <c r="R181" s="217">
        <v>0</v>
      </c>
      <c r="S181" s="217">
        <v>0</v>
      </c>
      <c r="T181" s="217">
        <v>0</v>
      </c>
      <c r="U181" s="217">
        <v>0</v>
      </c>
      <c r="V181" s="217">
        <v>0</v>
      </c>
      <c r="W181" s="217">
        <v>0</v>
      </c>
      <c r="X181" s="217">
        <v>0</v>
      </c>
      <c r="Y181" s="252">
        <v>0</v>
      </c>
      <c r="Z181" s="168">
        <f t="shared" si="110"/>
        <v>0</v>
      </c>
      <c r="AA181" s="170">
        <f t="shared" si="111"/>
        <v>0</v>
      </c>
      <c r="AB181" s="795">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796">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069">
        <f t="shared" si="112"/>
        <v>0</v>
      </c>
      <c r="AE181" s="784">
        <f t="shared" si="113"/>
        <v>0</v>
      </c>
      <c r="AF181" s="784">
        <f t="shared" si="114"/>
        <v>0</v>
      </c>
      <c r="AG181" s="784">
        <f t="shared" si="115"/>
        <v>0</v>
      </c>
      <c r="AH181" s="1015">
        <f t="shared" ref="AH181:AH223" si="116">IF(AG181&gt;0,AE181/AG181,0)</f>
        <v>0</v>
      </c>
      <c r="AI181" s="784">
        <f t="shared" ref="AI181:AI223" si="117">IF(AG181&gt;0,AF181/AG181,0)</f>
        <v>0</v>
      </c>
      <c r="AJ181" s="99"/>
      <c r="AK181"/>
      <c r="AL181"/>
      <c r="AM181"/>
      <c r="AN181"/>
      <c r="AO181"/>
      <c r="AP181"/>
      <c r="AQ181"/>
      <c r="AR181"/>
      <c r="AS181"/>
      <c r="AT181"/>
      <c r="AU181"/>
      <c r="AV181"/>
    </row>
    <row r="182" spans="1:48" x14ac:dyDescent="0.2">
      <c r="A182" s="199">
        <v>2009</v>
      </c>
      <c r="B182" s="216">
        <v>0</v>
      </c>
      <c r="C182" s="217">
        <v>0</v>
      </c>
      <c r="D182" s="217">
        <v>0</v>
      </c>
      <c r="E182" s="217">
        <v>0</v>
      </c>
      <c r="F182" s="217">
        <v>0</v>
      </c>
      <c r="G182" s="217">
        <v>0</v>
      </c>
      <c r="H182" s="217">
        <v>0</v>
      </c>
      <c r="I182" s="217">
        <v>0</v>
      </c>
      <c r="J182" s="217">
        <v>0</v>
      </c>
      <c r="K182" s="217">
        <v>0</v>
      </c>
      <c r="L182" s="252">
        <v>0</v>
      </c>
      <c r="M182" s="168">
        <f t="shared" si="108"/>
        <v>0</v>
      </c>
      <c r="N182" s="170">
        <f t="shared" si="109"/>
        <v>0</v>
      </c>
      <c r="O182" s="216">
        <v>0</v>
      </c>
      <c r="P182" s="217">
        <v>0</v>
      </c>
      <c r="Q182" s="217">
        <v>0</v>
      </c>
      <c r="R182" s="217">
        <v>0</v>
      </c>
      <c r="S182" s="217">
        <v>0</v>
      </c>
      <c r="T182" s="217">
        <v>0</v>
      </c>
      <c r="U182" s="217">
        <v>0</v>
      </c>
      <c r="V182" s="217">
        <v>0</v>
      </c>
      <c r="W182" s="217">
        <v>0</v>
      </c>
      <c r="X182" s="217">
        <v>0</v>
      </c>
      <c r="Y182" s="252">
        <v>0</v>
      </c>
      <c r="Z182" s="168">
        <f t="shared" si="110"/>
        <v>0</v>
      </c>
      <c r="AA182" s="170">
        <f t="shared" si="111"/>
        <v>0</v>
      </c>
      <c r="AB182" s="795">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796">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069">
        <f t="shared" si="112"/>
        <v>0</v>
      </c>
      <c r="AE182" s="784">
        <f t="shared" si="113"/>
        <v>0</v>
      </c>
      <c r="AF182" s="784">
        <f t="shared" si="114"/>
        <v>0</v>
      </c>
      <c r="AG182" s="784">
        <f t="shared" si="115"/>
        <v>0</v>
      </c>
      <c r="AH182" s="1015">
        <f t="shared" si="116"/>
        <v>0</v>
      </c>
      <c r="AI182" s="784">
        <f t="shared" si="117"/>
        <v>0</v>
      </c>
      <c r="AJ182" s="99"/>
      <c r="AK182"/>
      <c r="AL182"/>
      <c r="AM182"/>
      <c r="AN182"/>
      <c r="AO182"/>
      <c r="AP182"/>
      <c r="AQ182"/>
      <c r="AR182"/>
      <c r="AS182"/>
      <c r="AT182"/>
      <c r="AU182"/>
      <c r="AV182"/>
    </row>
    <row r="183" spans="1:48" ht="13.5" thickBot="1" x14ac:dyDescent="0.25">
      <c r="A183" s="200">
        <v>2010</v>
      </c>
      <c r="B183" s="218">
        <v>0</v>
      </c>
      <c r="C183" s="219">
        <v>0</v>
      </c>
      <c r="D183" s="219">
        <v>0</v>
      </c>
      <c r="E183" s="219">
        <v>0</v>
      </c>
      <c r="F183" s="219">
        <v>0</v>
      </c>
      <c r="G183" s="219">
        <v>0</v>
      </c>
      <c r="H183" s="219">
        <v>0</v>
      </c>
      <c r="I183" s="219">
        <v>0</v>
      </c>
      <c r="J183" s="219">
        <v>0</v>
      </c>
      <c r="K183" s="219">
        <v>0</v>
      </c>
      <c r="L183" s="253">
        <v>0</v>
      </c>
      <c r="M183" s="182">
        <f t="shared" si="108"/>
        <v>0</v>
      </c>
      <c r="N183" s="184">
        <f t="shared" si="109"/>
        <v>0</v>
      </c>
      <c r="O183" s="218">
        <v>0</v>
      </c>
      <c r="P183" s="219">
        <v>0</v>
      </c>
      <c r="Q183" s="219">
        <v>0</v>
      </c>
      <c r="R183" s="219">
        <v>0</v>
      </c>
      <c r="S183" s="219">
        <v>0</v>
      </c>
      <c r="T183" s="219">
        <v>0</v>
      </c>
      <c r="U183" s="219">
        <v>0</v>
      </c>
      <c r="V183" s="219">
        <v>0</v>
      </c>
      <c r="W183" s="219">
        <v>0</v>
      </c>
      <c r="X183" s="219">
        <v>0</v>
      </c>
      <c r="Y183" s="253">
        <v>0</v>
      </c>
      <c r="Z183" s="182">
        <f t="shared" si="110"/>
        <v>0</v>
      </c>
      <c r="AA183" s="184">
        <f t="shared" si="111"/>
        <v>0</v>
      </c>
      <c r="AB183" s="795">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796">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069">
        <f t="shared" si="112"/>
        <v>0</v>
      </c>
      <c r="AE183" s="784">
        <f t="shared" si="113"/>
        <v>0</v>
      </c>
      <c r="AF183" s="784">
        <f t="shared" si="114"/>
        <v>0</v>
      </c>
      <c r="AG183" s="784">
        <f t="shared" si="115"/>
        <v>0</v>
      </c>
      <c r="AH183" s="1015">
        <f t="shared" si="116"/>
        <v>0</v>
      </c>
      <c r="AI183" s="784">
        <f t="shared" si="117"/>
        <v>0</v>
      </c>
      <c r="AJ183" s="99"/>
      <c r="AK183"/>
      <c r="AL183"/>
      <c r="AM183"/>
      <c r="AN183"/>
      <c r="AO183"/>
      <c r="AP183"/>
      <c r="AQ183"/>
      <c r="AR183"/>
      <c r="AS183"/>
      <c r="AT183"/>
      <c r="AU183"/>
      <c r="AV183"/>
    </row>
    <row r="184" spans="1:48" x14ac:dyDescent="0.2">
      <c r="A184" s="201">
        <v>2011</v>
      </c>
      <c r="B184" s="214">
        <v>0</v>
      </c>
      <c r="C184" s="215">
        <v>0</v>
      </c>
      <c r="D184" s="215">
        <v>0</v>
      </c>
      <c r="E184" s="215">
        <v>0</v>
      </c>
      <c r="F184" s="215">
        <v>0</v>
      </c>
      <c r="G184" s="215">
        <v>0</v>
      </c>
      <c r="H184" s="215">
        <v>0</v>
      </c>
      <c r="I184" s="215">
        <v>0</v>
      </c>
      <c r="J184" s="215">
        <v>0</v>
      </c>
      <c r="K184" s="215">
        <v>0</v>
      </c>
      <c r="L184" s="251">
        <v>0</v>
      </c>
      <c r="M184" s="154">
        <f t="shared" si="108"/>
        <v>0</v>
      </c>
      <c r="N184" s="156">
        <f t="shared" si="109"/>
        <v>0</v>
      </c>
      <c r="O184" s="214">
        <v>0</v>
      </c>
      <c r="P184" s="215">
        <v>0</v>
      </c>
      <c r="Q184" s="215">
        <v>0</v>
      </c>
      <c r="R184" s="215">
        <v>0</v>
      </c>
      <c r="S184" s="215">
        <v>0</v>
      </c>
      <c r="T184" s="215">
        <v>0</v>
      </c>
      <c r="U184" s="215">
        <v>0</v>
      </c>
      <c r="V184" s="215">
        <v>0</v>
      </c>
      <c r="W184" s="215">
        <v>0</v>
      </c>
      <c r="X184" s="215">
        <v>0</v>
      </c>
      <c r="Y184" s="251">
        <v>0</v>
      </c>
      <c r="Z184" s="154">
        <f t="shared" si="110"/>
        <v>0</v>
      </c>
      <c r="AA184" s="156">
        <f t="shared" si="111"/>
        <v>0</v>
      </c>
      <c r="AB184" s="795">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796">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069">
        <f t="shared" si="112"/>
        <v>0</v>
      </c>
      <c r="AE184" s="784">
        <f t="shared" si="113"/>
        <v>0</v>
      </c>
      <c r="AF184" s="784">
        <f t="shared" si="114"/>
        <v>0</v>
      </c>
      <c r="AG184" s="784">
        <f t="shared" si="115"/>
        <v>0</v>
      </c>
      <c r="AH184" s="1015">
        <f t="shared" si="116"/>
        <v>0</v>
      </c>
      <c r="AI184" s="784">
        <f t="shared" si="117"/>
        <v>0</v>
      </c>
      <c r="AJ184" s="99"/>
      <c r="AK184"/>
      <c r="AL184"/>
      <c r="AM184"/>
      <c r="AN184"/>
      <c r="AO184"/>
      <c r="AP184"/>
      <c r="AQ184"/>
      <c r="AR184"/>
      <c r="AS184"/>
      <c r="AT184"/>
      <c r="AU184"/>
      <c r="AV184"/>
    </row>
    <row r="185" spans="1:48" x14ac:dyDescent="0.2">
      <c r="A185" s="202">
        <v>2012</v>
      </c>
      <c r="B185" s="216">
        <v>0</v>
      </c>
      <c r="C185" s="217">
        <v>0</v>
      </c>
      <c r="D185" s="217">
        <v>0</v>
      </c>
      <c r="E185" s="217">
        <v>0</v>
      </c>
      <c r="F185" s="217">
        <v>0</v>
      </c>
      <c r="G185" s="217">
        <v>0</v>
      </c>
      <c r="H185" s="217">
        <v>0</v>
      </c>
      <c r="I185" s="217">
        <v>0</v>
      </c>
      <c r="J185" s="217">
        <v>0</v>
      </c>
      <c r="K185" s="217">
        <v>0</v>
      </c>
      <c r="L185" s="252">
        <v>0</v>
      </c>
      <c r="M185" s="168">
        <f t="shared" si="108"/>
        <v>0</v>
      </c>
      <c r="N185" s="170">
        <f t="shared" si="109"/>
        <v>0</v>
      </c>
      <c r="O185" s="216">
        <v>0</v>
      </c>
      <c r="P185" s="217">
        <v>0</v>
      </c>
      <c r="Q185" s="217">
        <v>0</v>
      </c>
      <c r="R185" s="217">
        <v>0</v>
      </c>
      <c r="S185" s="217">
        <v>0</v>
      </c>
      <c r="T185" s="217">
        <v>0</v>
      </c>
      <c r="U185" s="217">
        <v>0</v>
      </c>
      <c r="V185" s="217">
        <v>0</v>
      </c>
      <c r="W185" s="217">
        <v>0</v>
      </c>
      <c r="X185" s="217">
        <v>0</v>
      </c>
      <c r="Y185" s="252">
        <v>0</v>
      </c>
      <c r="Z185" s="168">
        <f t="shared" si="110"/>
        <v>0</v>
      </c>
      <c r="AA185" s="170">
        <f t="shared" si="111"/>
        <v>0</v>
      </c>
      <c r="AB185" s="795">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796">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069">
        <f t="shared" si="112"/>
        <v>0</v>
      </c>
      <c r="AE185" s="784">
        <f t="shared" si="113"/>
        <v>0</v>
      </c>
      <c r="AF185" s="784">
        <f t="shared" si="114"/>
        <v>0</v>
      </c>
      <c r="AG185" s="784">
        <f t="shared" si="115"/>
        <v>0</v>
      </c>
      <c r="AH185" s="1015">
        <f t="shared" si="116"/>
        <v>0</v>
      </c>
      <c r="AI185" s="784">
        <f t="shared" si="117"/>
        <v>0</v>
      </c>
      <c r="AJ185" s="99"/>
      <c r="AK185"/>
      <c r="AL185"/>
      <c r="AM185"/>
      <c r="AN185"/>
      <c r="AO185"/>
      <c r="AP185"/>
      <c r="AQ185"/>
      <c r="AR185"/>
      <c r="AS185"/>
      <c r="AT185"/>
      <c r="AU185"/>
      <c r="AV185"/>
    </row>
    <row r="186" spans="1:48" x14ac:dyDescent="0.2">
      <c r="A186" s="202">
        <v>2013</v>
      </c>
      <c r="B186" s="216">
        <v>0</v>
      </c>
      <c r="C186" s="217">
        <v>0</v>
      </c>
      <c r="D186" s="217">
        <v>0</v>
      </c>
      <c r="E186" s="217">
        <v>0</v>
      </c>
      <c r="F186" s="217">
        <v>0</v>
      </c>
      <c r="G186" s="217">
        <v>0</v>
      </c>
      <c r="H186" s="217">
        <v>0</v>
      </c>
      <c r="I186" s="217">
        <v>0</v>
      </c>
      <c r="J186" s="217">
        <v>0</v>
      </c>
      <c r="K186" s="217">
        <v>0</v>
      </c>
      <c r="L186" s="252">
        <v>0</v>
      </c>
      <c r="M186" s="168">
        <f t="shared" si="108"/>
        <v>0</v>
      </c>
      <c r="N186" s="170">
        <f t="shared" si="109"/>
        <v>0</v>
      </c>
      <c r="O186" s="216">
        <v>0</v>
      </c>
      <c r="P186" s="217">
        <v>0</v>
      </c>
      <c r="Q186" s="217">
        <v>0</v>
      </c>
      <c r="R186" s="217">
        <v>0</v>
      </c>
      <c r="S186" s="217">
        <v>0</v>
      </c>
      <c r="T186" s="217">
        <v>0</v>
      </c>
      <c r="U186" s="217">
        <v>0</v>
      </c>
      <c r="V186" s="217">
        <v>0</v>
      </c>
      <c r="W186" s="217">
        <v>0</v>
      </c>
      <c r="X186" s="217">
        <v>0</v>
      </c>
      <c r="Y186" s="252">
        <v>0</v>
      </c>
      <c r="Z186" s="168">
        <f t="shared" si="110"/>
        <v>0</v>
      </c>
      <c r="AA186" s="170">
        <f t="shared" si="111"/>
        <v>0</v>
      </c>
      <c r="AB186" s="795">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796">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069">
        <f t="shared" si="112"/>
        <v>0</v>
      </c>
      <c r="AE186" s="784">
        <f t="shared" si="113"/>
        <v>0</v>
      </c>
      <c r="AF186" s="784">
        <f t="shared" si="114"/>
        <v>0</v>
      </c>
      <c r="AG186" s="784">
        <f t="shared" si="115"/>
        <v>0</v>
      </c>
      <c r="AH186" s="1015">
        <f t="shared" si="116"/>
        <v>0</v>
      </c>
      <c r="AI186" s="784">
        <f t="shared" si="117"/>
        <v>0</v>
      </c>
      <c r="AJ186" s="99"/>
      <c r="AK186"/>
      <c r="AL186"/>
      <c r="AM186"/>
      <c r="AN186"/>
      <c r="AO186"/>
      <c r="AP186"/>
      <c r="AQ186"/>
      <c r="AR186"/>
      <c r="AS186"/>
      <c r="AT186"/>
      <c r="AU186"/>
      <c r="AV186"/>
    </row>
    <row r="187" spans="1:48" x14ac:dyDescent="0.2">
      <c r="A187" s="202">
        <v>2014</v>
      </c>
      <c r="B187" s="216">
        <v>0</v>
      </c>
      <c r="C187" s="217">
        <v>0</v>
      </c>
      <c r="D187" s="217">
        <v>0</v>
      </c>
      <c r="E187" s="217">
        <v>0</v>
      </c>
      <c r="F187" s="217">
        <v>0</v>
      </c>
      <c r="G187" s="217">
        <v>0</v>
      </c>
      <c r="H187" s="217">
        <v>0</v>
      </c>
      <c r="I187" s="217">
        <v>0</v>
      </c>
      <c r="J187" s="217">
        <v>0</v>
      </c>
      <c r="K187" s="217">
        <v>0</v>
      </c>
      <c r="L187" s="252">
        <v>0</v>
      </c>
      <c r="M187" s="168">
        <f t="shared" si="108"/>
        <v>0</v>
      </c>
      <c r="N187" s="170">
        <f t="shared" si="109"/>
        <v>0</v>
      </c>
      <c r="O187" s="216">
        <v>0</v>
      </c>
      <c r="P187" s="217">
        <v>0</v>
      </c>
      <c r="Q187" s="217">
        <v>0</v>
      </c>
      <c r="R187" s="217">
        <v>0</v>
      </c>
      <c r="S187" s="217">
        <v>0</v>
      </c>
      <c r="T187" s="217">
        <v>0</v>
      </c>
      <c r="U187" s="217">
        <v>0</v>
      </c>
      <c r="V187" s="217">
        <v>0</v>
      </c>
      <c r="W187" s="217">
        <v>0</v>
      </c>
      <c r="X187" s="217">
        <v>0</v>
      </c>
      <c r="Y187" s="252">
        <v>0</v>
      </c>
      <c r="Z187" s="168">
        <f t="shared" si="110"/>
        <v>0</v>
      </c>
      <c r="AA187" s="170">
        <f t="shared" si="111"/>
        <v>0</v>
      </c>
      <c r="AB187" s="795">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796">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069">
        <f t="shared" si="112"/>
        <v>0</v>
      </c>
      <c r="AE187" s="784">
        <f t="shared" si="113"/>
        <v>0</v>
      </c>
      <c r="AF187" s="784">
        <f t="shared" si="114"/>
        <v>0</v>
      </c>
      <c r="AG187" s="784">
        <f t="shared" si="115"/>
        <v>0</v>
      </c>
      <c r="AH187" s="1015">
        <f t="shared" si="116"/>
        <v>0</v>
      </c>
      <c r="AI187" s="784">
        <f t="shared" si="117"/>
        <v>0</v>
      </c>
      <c r="AJ187" s="99"/>
      <c r="AK187"/>
      <c r="AL187"/>
      <c r="AM187"/>
      <c r="AN187"/>
      <c r="AO187"/>
      <c r="AP187"/>
      <c r="AQ187"/>
      <c r="AR187"/>
      <c r="AS187"/>
      <c r="AT187"/>
      <c r="AU187"/>
      <c r="AV187"/>
    </row>
    <row r="188" spans="1:48" ht="13.5" thickBot="1" x14ac:dyDescent="0.25">
      <c r="A188" s="200">
        <v>2015</v>
      </c>
      <c r="B188" s="218">
        <v>0</v>
      </c>
      <c r="C188" s="219">
        <v>0</v>
      </c>
      <c r="D188" s="219">
        <v>0</v>
      </c>
      <c r="E188" s="219">
        <v>0</v>
      </c>
      <c r="F188" s="219">
        <v>0</v>
      </c>
      <c r="G188" s="219">
        <v>0</v>
      </c>
      <c r="H188" s="219">
        <v>0</v>
      </c>
      <c r="I188" s="219">
        <v>0</v>
      </c>
      <c r="J188" s="219">
        <v>0</v>
      </c>
      <c r="K188" s="219">
        <v>0</v>
      </c>
      <c r="L188" s="253">
        <v>0</v>
      </c>
      <c r="M188" s="182">
        <f t="shared" si="108"/>
        <v>0</v>
      </c>
      <c r="N188" s="184">
        <f t="shared" si="109"/>
        <v>0</v>
      </c>
      <c r="O188" s="218">
        <v>0</v>
      </c>
      <c r="P188" s="219">
        <v>0</v>
      </c>
      <c r="Q188" s="219">
        <v>0</v>
      </c>
      <c r="R188" s="219">
        <v>0</v>
      </c>
      <c r="S188" s="219">
        <v>0</v>
      </c>
      <c r="T188" s="219">
        <v>0</v>
      </c>
      <c r="U188" s="219">
        <v>0</v>
      </c>
      <c r="V188" s="219">
        <v>0</v>
      </c>
      <c r="W188" s="219">
        <v>0</v>
      </c>
      <c r="X188" s="219">
        <v>0</v>
      </c>
      <c r="Y188" s="253">
        <v>0</v>
      </c>
      <c r="Z188" s="182">
        <f t="shared" si="110"/>
        <v>0</v>
      </c>
      <c r="AA188" s="184">
        <f t="shared" si="111"/>
        <v>0</v>
      </c>
      <c r="AB188" s="795">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796">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069">
        <f t="shared" si="112"/>
        <v>0</v>
      </c>
      <c r="AE188" s="784">
        <f t="shared" si="113"/>
        <v>0</v>
      </c>
      <c r="AF188" s="784">
        <f t="shared" si="114"/>
        <v>0</v>
      </c>
      <c r="AG188" s="784">
        <f t="shared" si="115"/>
        <v>0</v>
      </c>
      <c r="AH188" s="1015">
        <f t="shared" si="116"/>
        <v>0</v>
      </c>
      <c r="AI188" s="784">
        <f t="shared" si="117"/>
        <v>0</v>
      </c>
      <c r="AJ188" s="99"/>
      <c r="AK188"/>
      <c r="AL188"/>
      <c r="AM188"/>
      <c r="AN188"/>
      <c r="AO188"/>
      <c r="AP188"/>
      <c r="AQ188"/>
      <c r="AR188"/>
      <c r="AS188"/>
      <c r="AT188"/>
      <c r="AU188"/>
      <c r="AV188"/>
    </row>
    <row r="189" spans="1:48" x14ac:dyDescent="0.2">
      <c r="A189" s="201">
        <v>2016</v>
      </c>
      <c r="B189" s="214">
        <v>0</v>
      </c>
      <c r="C189" s="215">
        <v>0</v>
      </c>
      <c r="D189" s="215">
        <v>0</v>
      </c>
      <c r="E189" s="215">
        <v>0</v>
      </c>
      <c r="F189" s="215">
        <v>0</v>
      </c>
      <c r="G189" s="215">
        <v>0</v>
      </c>
      <c r="H189" s="215">
        <v>0</v>
      </c>
      <c r="I189" s="215">
        <v>0</v>
      </c>
      <c r="J189" s="215">
        <v>0</v>
      </c>
      <c r="K189" s="215">
        <v>0</v>
      </c>
      <c r="L189" s="251">
        <v>0</v>
      </c>
      <c r="M189" s="154">
        <f t="shared" si="108"/>
        <v>0</v>
      </c>
      <c r="N189" s="156">
        <f t="shared" si="109"/>
        <v>0</v>
      </c>
      <c r="O189" s="214">
        <v>0</v>
      </c>
      <c r="P189" s="215">
        <v>0</v>
      </c>
      <c r="Q189" s="215">
        <v>0</v>
      </c>
      <c r="R189" s="215">
        <v>0</v>
      </c>
      <c r="S189" s="215">
        <v>0</v>
      </c>
      <c r="T189" s="215">
        <v>0</v>
      </c>
      <c r="U189" s="215">
        <v>0</v>
      </c>
      <c r="V189" s="215">
        <v>0</v>
      </c>
      <c r="W189" s="215">
        <v>0</v>
      </c>
      <c r="X189" s="215">
        <v>0</v>
      </c>
      <c r="Y189" s="251">
        <v>0</v>
      </c>
      <c r="Z189" s="154">
        <f t="shared" si="110"/>
        <v>0</v>
      </c>
      <c r="AA189" s="156">
        <f t="shared" si="111"/>
        <v>0</v>
      </c>
      <c r="AB189" s="795">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796">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069">
        <f t="shared" si="112"/>
        <v>0</v>
      </c>
      <c r="AE189" s="784">
        <f t="shared" si="113"/>
        <v>0</v>
      </c>
      <c r="AF189" s="784">
        <f t="shared" si="114"/>
        <v>0</v>
      </c>
      <c r="AG189" s="784">
        <f t="shared" si="115"/>
        <v>0</v>
      </c>
      <c r="AH189" s="1015">
        <f t="shared" si="116"/>
        <v>0</v>
      </c>
      <c r="AI189" s="784">
        <f t="shared" si="117"/>
        <v>0</v>
      </c>
      <c r="AJ189" s="99"/>
      <c r="AK189"/>
      <c r="AL189"/>
      <c r="AM189"/>
      <c r="AN189"/>
      <c r="AO189"/>
      <c r="AP189"/>
      <c r="AQ189"/>
      <c r="AR189"/>
      <c r="AS189"/>
      <c r="AT189"/>
      <c r="AU189"/>
      <c r="AV189"/>
    </row>
    <row r="190" spans="1:48" x14ac:dyDescent="0.2">
      <c r="A190" s="202">
        <v>2017</v>
      </c>
      <c r="B190" s="216">
        <v>0</v>
      </c>
      <c r="C190" s="217">
        <v>0</v>
      </c>
      <c r="D190" s="217">
        <v>0</v>
      </c>
      <c r="E190" s="217">
        <v>0</v>
      </c>
      <c r="F190" s="217">
        <v>0</v>
      </c>
      <c r="G190" s="217">
        <v>0</v>
      </c>
      <c r="H190" s="217">
        <v>0</v>
      </c>
      <c r="I190" s="217">
        <v>0</v>
      </c>
      <c r="J190" s="217">
        <v>0</v>
      </c>
      <c r="K190" s="217">
        <v>0</v>
      </c>
      <c r="L190" s="252">
        <v>0</v>
      </c>
      <c r="M190" s="168">
        <f t="shared" si="108"/>
        <v>0</v>
      </c>
      <c r="N190" s="170">
        <f t="shared" si="109"/>
        <v>0</v>
      </c>
      <c r="O190" s="216">
        <v>0</v>
      </c>
      <c r="P190" s="217">
        <v>0</v>
      </c>
      <c r="Q190" s="217">
        <v>0</v>
      </c>
      <c r="R190" s="217">
        <v>0</v>
      </c>
      <c r="S190" s="217">
        <v>0</v>
      </c>
      <c r="T190" s="217">
        <v>0</v>
      </c>
      <c r="U190" s="217">
        <v>0</v>
      </c>
      <c r="V190" s="217">
        <v>0</v>
      </c>
      <c r="W190" s="217">
        <v>0</v>
      </c>
      <c r="X190" s="217">
        <v>0</v>
      </c>
      <c r="Y190" s="252">
        <v>0</v>
      </c>
      <c r="Z190" s="168">
        <f t="shared" si="110"/>
        <v>0</v>
      </c>
      <c r="AA190" s="170">
        <f t="shared" si="111"/>
        <v>0</v>
      </c>
      <c r="AB190" s="795">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796">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069">
        <f t="shared" si="112"/>
        <v>0</v>
      </c>
      <c r="AE190" s="784">
        <f t="shared" si="113"/>
        <v>0</v>
      </c>
      <c r="AF190" s="784">
        <f t="shared" si="114"/>
        <v>0</v>
      </c>
      <c r="AG190" s="784">
        <f t="shared" si="115"/>
        <v>0</v>
      </c>
      <c r="AH190" s="1015">
        <f t="shared" si="116"/>
        <v>0</v>
      </c>
      <c r="AI190" s="784">
        <f t="shared" si="117"/>
        <v>0</v>
      </c>
      <c r="AJ190" s="99"/>
      <c r="AK190"/>
      <c r="AL190"/>
      <c r="AM190"/>
      <c r="AN190"/>
      <c r="AO190"/>
      <c r="AP190"/>
      <c r="AQ190"/>
      <c r="AR190"/>
      <c r="AS190"/>
      <c r="AT190"/>
      <c r="AU190"/>
      <c r="AV190"/>
    </row>
    <row r="191" spans="1:48" x14ac:dyDescent="0.2">
      <c r="A191" s="202">
        <v>2018</v>
      </c>
      <c r="B191" s="216">
        <v>0</v>
      </c>
      <c r="C191" s="217">
        <v>0</v>
      </c>
      <c r="D191" s="217">
        <v>0</v>
      </c>
      <c r="E191" s="217">
        <v>0</v>
      </c>
      <c r="F191" s="217">
        <v>0</v>
      </c>
      <c r="G191" s="217">
        <v>0</v>
      </c>
      <c r="H191" s="217">
        <v>0</v>
      </c>
      <c r="I191" s="217">
        <v>0</v>
      </c>
      <c r="J191" s="217">
        <v>0</v>
      </c>
      <c r="K191" s="217">
        <v>0</v>
      </c>
      <c r="L191" s="252">
        <v>0</v>
      </c>
      <c r="M191" s="168">
        <f t="shared" si="108"/>
        <v>0</v>
      </c>
      <c r="N191" s="170">
        <f t="shared" si="109"/>
        <v>0</v>
      </c>
      <c r="O191" s="216">
        <v>0</v>
      </c>
      <c r="P191" s="217">
        <v>0</v>
      </c>
      <c r="Q191" s="217">
        <v>0</v>
      </c>
      <c r="R191" s="217">
        <v>0</v>
      </c>
      <c r="S191" s="217">
        <v>0</v>
      </c>
      <c r="T191" s="217">
        <v>0</v>
      </c>
      <c r="U191" s="217">
        <v>0</v>
      </c>
      <c r="V191" s="217">
        <v>0</v>
      </c>
      <c r="W191" s="217">
        <v>0</v>
      </c>
      <c r="X191" s="217">
        <v>0</v>
      </c>
      <c r="Y191" s="252">
        <v>0</v>
      </c>
      <c r="Z191" s="168">
        <f t="shared" si="110"/>
        <v>0</v>
      </c>
      <c r="AA191" s="170">
        <f t="shared" si="111"/>
        <v>0</v>
      </c>
      <c r="AB191" s="795">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796">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069">
        <f t="shared" si="112"/>
        <v>0</v>
      </c>
      <c r="AE191" s="784">
        <f t="shared" si="113"/>
        <v>0</v>
      </c>
      <c r="AF191" s="784">
        <f t="shared" si="114"/>
        <v>0</v>
      </c>
      <c r="AG191" s="784">
        <f t="shared" si="115"/>
        <v>0</v>
      </c>
      <c r="AH191" s="1015">
        <f t="shared" si="116"/>
        <v>0</v>
      </c>
      <c r="AI191" s="784">
        <f t="shared" si="117"/>
        <v>0</v>
      </c>
      <c r="AJ191" s="99"/>
      <c r="AK191"/>
      <c r="AL191"/>
      <c r="AM191"/>
      <c r="AN191"/>
      <c r="AO191"/>
      <c r="AP191"/>
      <c r="AQ191"/>
      <c r="AR191"/>
      <c r="AS191"/>
      <c r="AT191"/>
      <c r="AU191"/>
      <c r="AV191"/>
    </row>
    <row r="192" spans="1:48" x14ac:dyDescent="0.2">
      <c r="A192" s="202">
        <v>2019</v>
      </c>
      <c r="B192" s="216">
        <v>0</v>
      </c>
      <c r="C192" s="217">
        <v>0</v>
      </c>
      <c r="D192" s="217">
        <v>0</v>
      </c>
      <c r="E192" s="217">
        <v>0</v>
      </c>
      <c r="F192" s="217">
        <v>0</v>
      </c>
      <c r="G192" s="217">
        <v>0</v>
      </c>
      <c r="H192" s="217">
        <v>0</v>
      </c>
      <c r="I192" s="217">
        <v>0</v>
      </c>
      <c r="J192" s="217">
        <v>0</v>
      </c>
      <c r="K192" s="217">
        <v>0</v>
      </c>
      <c r="L192" s="252">
        <v>0</v>
      </c>
      <c r="M192" s="168">
        <f t="shared" si="108"/>
        <v>0</v>
      </c>
      <c r="N192" s="170">
        <f t="shared" si="109"/>
        <v>0</v>
      </c>
      <c r="O192" s="216">
        <v>0</v>
      </c>
      <c r="P192" s="217">
        <v>0</v>
      </c>
      <c r="Q192" s="217">
        <v>0</v>
      </c>
      <c r="R192" s="217">
        <v>0</v>
      </c>
      <c r="S192" s="217">
        <v>0</v>
      </c>
      <c r="T192" s="217">
        <v>0</v>
      </c>
      <c r="U192" s="217">
        <v>0</v>
      </c>
      <c r="V192" s="217">
        <v>0</v>
      </c>
      <c r="W192" s="217">
        <v>0</v>
      </c>
      <c r="X192" s="217">
        <v>0</v>
      </c>
      <c r="Y192" s="252">
        <v>0</v>
      </c>
      <c r="Z192" s="168">
        <f t="shared" si="110"/>
        <v>0</v>
      </c>
      <c r="AA192" s="170">
        <f t="shared" si="111"/>
        <v>0</v>
      </c>
      <c r="AB192" s="795">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796">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069">
        <f t="shared" si="112"/>
        <v>0</v>
      </c>
      <c r="AE192" s="784">
        <f t="shared" si="113"/>
        <v>0</v>
      </c>
      <c r="AF192" s="784">
        <f t="shared" si="114"/>
        <v>0</v>
      </c>
      <c r="AG192" s="784">
        <f t="shared" si="115"/>
        <v>0</v>
      </c>
      <c r="AH192" s="1015">
        <f t="shared" si="116"/>
        <v>0</v>
      </c>
      <c r="AI192" s="784">
        <f t="shared" si="117"/>
        <v>0</v>
      </c>
      <c r="AJ192" s="99"/>
      <c r="AK192"/>
      <c r="AL192"/>
      <c r="AM192"/>
      <c r="AN192"/>
      <c r="AO192"/>
      <c r="AP192"/>
      <c r="AQ192"/>
      <c r="AR192"/>
      <c r="AS192"/>
      <c r="AT192"/>
      <c r="AU192"/>
      <c r="AV192"/>
    </row>
    <row r="193" spans="1:48" ht="13.5" thickBot="1" x14ac:dyDescent="0.25">
      <c r="A193" s="200">
        <v>2020</v>
      </c>
      <c r="B193" s="218">
        <v>0</v>
      </c>
      <c r="C193" s="219">
        <v>0</v>
      </c>
      <c r="D193" s="219">
        <v>0</v>
      </c>
      <c r="E193" s="219">
        <v>0</v>
      </c>
      <c r="F193" s="219">
        <v>0</v>
      </c>
      <c r="G193" s="219">
        <v>0</v>
      </c>
      <c r="H193" s="219">
        <v>0</v>
      </c>
      <c r="I193" s="219">
        <v>0</v>
      </c>
      <c r="J193" s="219">
        <v>0</v>
      </c>
      <c r="K193" s="219">
        <v>0</v>
      </c>
      <c r="L193" s="253">
        <v>0</v>
      </c>
      <c r="M193" s="182">
        <f t="shared" si="108"/>
        <v>0</v>
      </c>
      <c r="N193" s="184">
        <f t="shared" si="109"/>
        <v>0</v>
      </c>
      <c r="O193" s="218">
        <v>0</v>
      </c>
      <c r="P193" s="219">
        <v>0</v>
      </c>
      <c r="Q193" s="219">
        <v>0</v>
      </c>
      <c r="R193" s="219">
        <v>0</v>
      </c>
      <c r="S193" s="219">
        <v>0</v>
      </c>
      <c r="T193" s="219">
        <v>0</v>
      </c>
      <c r="U193" s="219">
        <v>0</v>
      </c>
      <c r="V193" s="219">
        <v>0</v>
      </c>
      <c r="W193" s="219">
        <v>0</v>
      </c>
      <c r="X193" s="219">
        <v>0</v>
      </c>
      <c r="Y193" s="253">
        <v>0</v>
      </c>
      <c r="Z193" s="182">
        <f t="shared" si="110"/>
        <v>0</v>
      </c>
      <c r="AA193" s="184">
        <f t="shared" si="111"/>
        <v>0</v>
      </c>
      <c r="AB193" s="795">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796">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069">
        <f t="shared" si="112"/>
        <v>0</v>
      </c>
      <c r="AE193" s="784">
        <f t="shared" si="113"/>
        <v>0</v>
      </c>
      <c r="AF193" s="784">
        <f t="shared" si="114"/>
        <v>0</v>
      </c>
      <c r="AG193" s="784">
        <f t="shared" si="115"/>
        <v>0</v>
      </c>
      <c r="AH193" s="1015">
        <f t="shared" si="116"/>
        <v>0</v>
      </c>
      <c r="AI193" s="784">
        <f t="shared" si="117"/>
        <v>0</v>
      </c>
      <c r="AJ193" s="99"/>
      <c r="AK193"/>
      <c r="AL193"/>
      <c r="AM193"/>
      <c r="AN193"/>
      <c r="AO193"/>
      <c r="AP193"/>
      <c r="AQ193"/>
      <c r="AR193"/>
      <c r="AS193"/>
      <c r="AT193"/>
      <c r="AU193"/>
      <c r="AV193"/>
    </row>
    <row r="194" spans="1:48" x14ac:dyDescent="0.2">
      <c r="A194" s="201">
        <v>2021</v>
      </c>
      <c r="B194" s="214">
        <v>0</v>
      </c>
      <c r="C194" s="215">
        <v>0</v>
      </c>
      <c r="D194" s="215">
        <v>0</v>
      </c>
      <c r="E194" s="215">
        <v>0</v>
      </c>
      <c r="F194" s="215">
        <v>0</v>
      </c>
      <c r="G194" s="215">
        <v>0</v>
      </c>
      <c r="H194" s="215">
        <v>0</v>
      </c>
      <c r="I194" s="215">
        <v>0</v>
      </c>
      <c r="J194" s="215">
        <v>0</v>
      </c>
      <c r="K194" s="215">
        <v>0</v>
      </c>
      <c r="L194" s="251">
        <v>0</v>
      </c>
      <c r="M194" s="154">
        <f t="shared" si="108"/>
        <v>0</v>
      </c>
      <c r="N194" s="156">
        <f t="shared" si="109"/>
        <v>0</v>
      </c>
      <c r="O194" s="214">
        <v>0</v>
      </c>
      <c r="P194" s="215">
        <v>0</v>
      </c>
      <c r="Q194" s="215">
        <v>0</v>
      </c>
      <c r="R194" s="215">
        <v>0</v>
      </c>
      <c r="S194" s="215">
        <v>0</v>
      </c>
      <c r="T194" s="215">
        <v>0</v>
      </c>
      <c r="U194" s="215">
        <v>0</v>
      </c>
      <c r="V194" s="215">
        <v>0</v>
      </c>
      <c r="W194" s="215">
        <v>0</v>
      </c>
      <c r="X194" s="215">
        <v>0</v>
      </c>
      <c r="Y194" s="251">
        <v>0</v>
      </c>
      <c r="Z194" s="154">
        <f t="shared" si="110"/>
        <v>0</v>
      </c>
      <c r="AA194" s="156">
        <f t="shared" si="111"/>
        <v>0</v>
      </c>
      <c r="AB194" s="795">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796">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069">
        <f t="shared" si="112"/>
        <v>0</v>
      </c>
      <c r="AE194" s="784">
        <f t="shared" si="113"/>
        <v>0</v>
      </c>
      <c r="AF194" s="784">
        <f t="shared" si="114"/>
        <v>0</v>
      </c>
      <c r="AG194" s="784">
        <f t="shared" si="115"/>
        <v>0</v>
      </c>
      <c r="AH194" s="1015">
        <f t="shared" si="116"/>
        <v>0</v>
      </c>
      <c r="AI194" s="784">
        <f t="shared" si="117"/>
        <v>0</v>
      </c>
      <c r="AJ194" s="99"/>
      <c r="AK194" s="99"/>
      <c r="AL194" s="99"/>
      <c r="AM194" s="99"/>
    </row>
    <row r="195" spans="1:48" x14ac:dyDescent="0.2">
      <c r="A195" s="202">
        <v>2022</v>
      </c>
      <c r="B195" s="216">
        <v>0</v>
      </c>
      <c r="C195" s="217">
        <v>0</v>
      </c>
      <c r="D195" s="217">
        <v>0</v>
      </c>
      <c r="E195" s="217">
        <v>0</v>
      </c>
      <c r="F195" s="217">
        <v>0</v>
      </c>
      <c r="G195" s="217">
        <v>0</v>
      </c>
      <c r="H195" s="217">
        <v>0</v>
      </c>
      <c r="I195" s="217">
        <v>0</v>
      </c>
      <c r="J195" s="217">
        <v>0</v>
      </c>
      <c r="K195" s="217">
        <v>0</v>
      </c>
      <c r="L195" s="252">
        <v>0</v>
      </c>
      <c r="M195" s="168">
        <f t="shared" si="108"/>
        <v>0</v>
      </c>
      <c r="N195" s="170">
        <f t="shared" si="109"/>
        <v>0</v>
      </c>
      <c r="O195" s="216">
        <v>0</v>
      </c>
      <c r="P195" s="217">
        <v>0</v>
      </c>
      <c r="Q195" s="217">
        <v>0</v>
      </c>
      <c r="R195" s="217">
        <v>0</v>
      </c>
      <c r="S195" s="217">
        <v>0</v>
      </c>
      <c r="T195" s="217">
        <v>0</v>
      </c>
      <c r="U195" s="217">
        <v>0</v>
      </c>
      <c r="V195" s="217">
        <v>0</v>
      </c>
      <c r="W195" s="217">
        <v>0</v>
      </c>
      <c r="X195" s="217">
        <v>0</v>
      </c>
      <c r="Y195" s="252">
        <v>0</v>
      </c>
      <c r="Z195" s="168">
        <f t="shared" si="110"/>
        <v>0</v>
      </c>
      <c r="AA195" s="170">
        <f t="shared" si="111"/>
        <v>0</v>
      </c>
      <c r="AB195" s="795">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796">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069">
        <f t="shared" si="112"/>
        <v>0</v>
      </c>
      <c r="AE195" s="784">
        <f>SUMPRODUCT($B$74:$L$74,B195:L195)</f>
        <v>0</v>
      </c>
      <c r="AF195" s="784">
        <f>SUMPRODUCT($O$74:$Y$74,O195:Y195)</f>
        <v>0</v>
      </c>
      <c r="AG195" s="784">
        <f>SUM(AE195:AF195)</f>
        <v>0</v>
      </c>
      <c r="AH195" s="1015">
        <f t="shared" si="116"/>
        <v>0</v>
      </c>
      <c r="AI195" s="784">
        <f t="shared" si="117"/>
        <v>0</v>
      </c>
      <c r="AJ195" s="99"/>
      <c r="AK195" s="99"/>
      <c r="AL195" s="99"/>
      <c r="AM195" s="99"/>
    </row>
    <row r="196" spans="1:48" x14ac:dyDescent="0.2">
      <c r="A196" s="202">
        <v>2023</v>
      </c>
      <c r="B196" s="216">
        <v>0</v>
      </c>
      <c r="C196" s="217">
        <v>0</v>
      </c>
      <c r="D196" s="217">
        <v>0</v>
      </c>
      <c r="E196" s="217">
        <v>0</v>
      </c>
      <c r="F196" s="217">
        <v>0</v>
      </c>
      <c r="G196" s="217">
        <v>0</v>
      </c>
      <c r="H196" s="217">
        <v>0</v>
      </c>
      <c r="I196" s="217">
        <v>0</v>
      </c>
      <c r="J196" s="217">
        <v>0</v>
      </c>
      <c r="K196" s="217">
        <v>0</v>
      </c>
      <c r="L196" s="252">
        <v>0</v>
      </c>
      <c r="M196" s="168">
        <f t="shared" si="108"/>
        <v>0</v>
      </c>
      <c r="N196" s="170">
        <f t="shared" si="109"/>
        <v>0</v>
      </c>
      <c r="O196" s="216">
        <v>0</v>
      </c>
      <c r="P196" s="217">
        <v>0</v>
      </c>
      <c r="Q196" s="217">
        <v>0</v>
      </c>
      <c r="R196" s="217">
        <v>0</v>
      </c>
      <c r="S196" s="217">
        <v>0</v>
      </c>
      <c r="T196" s="217">
        <v>0</v>
      </c>
      <c r="U196" s="217">
        <v>0</v>
      </c>
      <c r="V196" s="217">
        <v>0</v>
      </c>
      <c r="W196" s="217">
        <v>0</v>
      </c>
      <c r="X196" s="217">
        <v>0</v>
      </c>
      <c r="Y196" s="252">
        <v>0</v>
      </c>
      <c r="Z196" s="168">
        <f t="shared" si="110"/>
        <v>0</v>
      </c>
      <c r="AA196" s="170">
        <f t="shared" si="111"/>
        <v>0</v>
      </c>
      <c r="AB196" s="795">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796">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069">
        <f t="shared" si="112"/>
        <v>0</v>
      </c>
      <c r="AE196" s="784">
        <f t="shared" ref="AE196:AE223" si="118">SUMPRODUCT($B$74:$L$74,B196:L196)</f>
        <v>0</v>
      </c>
      <c r="AF196" s="784">
        <f t="shared" ref="AF196:AF223" si="119">SUMPRODUCT($O$74:$Y$74,O196:Y196)</f>
        <v>0</v>
      </c>
      <c r="AG196" s="784">
        <f t="shared" ref="AG196:AG223" si="120">SUM(AE196:AF196)</f>
        <v>0</v>
      </c>
      <c r="AH196" s="1015">
        <f t="shared" si="116"/>
        <v>0</v>
      </c>
      <c r="AI196" s="784">
        <f t="shared" si="117"/>
        <v>0</v>
      </c>
      <c r="AJ196" s="99"/>
      <c r="AK196" s="99"/>
      <c r="AL196" s="99"/>
      <c r="AM196" s="99"/>
    </row>
    <row r="197" spans="1:48" x14ac:dyDescent="0.2">
      <c r="A197" s="202">
        <v>2024</v>
      </c>
      <c r="B197" s="216">
        <v>0</v>
      </c>
      <c r="C197" s="217">
        <v>0</v>
      </c>
      <c r="D197" s="217">
        <v>0</v>
      </c>
      <c r="E197" s="217">
        <v>0</v>
      </c>
      <c r="F197" s="217">
        <v>0</v>
      </c>
      <c r="G197" s="217">
        <v>0</v>
      </c>
      <c r="H197" s="217">
        <v>0</v>
      </c>
      <c r="I197" s="217">
        <v>0</v>
      </c>
      <c r="J197" s="217">
        <v>0</v>
      </c>
      <c r="K197" s="217">
        <v>0</v>
      </c>
      <c r="L197" s="252">
        <v>0</v>
      </c>
      <c r="M197" s="168">
        <f t="shared" si="108"/>
        <v>0</v>
      </c>
      <c r="N197" s="170">
        <f t="shared" si="109"/>
        <v>0</v>
      </c>
      <c r="O197" s="216">
        <v>0</v>
      </c>
      <c r="P197" s="217">
        <v>0</v>
      </c>
      <c r="Q197" s="217">
        <v>0</v>
      </c>
      <c r="R197" s="217">
        <v>0</v>
      </c>
      <c r="S197" s="217">
        <v>0</v>
      </c>
      <c r="T197" s="217">
        <v>0</v>
      </c>
      <c r="U197" s="217">
        <v>0</v>
      </c>
      <c r="V197" s="217">
        <v>0</v>
      </c>
      <c r="W197" s="217">
        <v>0</v>
      </c>
      <c r="X197" s="217">
        <v>0</v>
      </c>
      <c r="Y197" s="252">
        <v>0</v>
      </c>
      <c r="Z197" s="168">
        <f t="shared" si="110"/>
        <v>0</v>
      </c>
      <c r="AA197" s="170">
        <f t="shared" si="111"/>
        <v>0</v>
      </c>
      <c r="AB197" s="795">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796">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069">
        <f t="shared" si="112"/>
        <v>0</v>
      </c>
      <c r="AE197" s="784">
        <f t="shared" si="118"/>
        <v>0</v>
      </c>
      <c r="AF197" s="784">
        <f t="shared" si="119"/>
        <v>0</v>
      </c>
      <c r="AG197" s="784">
        <f t="shared" si="120"/>
        <v>0</v>
      </c>
      <c r="AH197" s="1015">
        <f t="shared" si="116"/>
        <v>0</v>
      </c>
      <c r="AI197" s="784">
        <f t="shared" si="117"/>
        <v>0</v>
      </c>
      <c r="AJ197" s="99"/>
      <c r="AK197" s="99"/>
      <c r="AL197" s="99"/>
      <c r="AM197" s="99"/>
    </row>
    <row r="198" spans="1:48" ht="13.5" thickBot="1" x14ac:dyDescent="0.25">
      <c r="A198" s="200">
        <v>2025</v>
      </c>
      <c r="B198" s="218">
        <v>0</v>
      </c>
      <c r="C198" s="219">
        <v>0</v>
      </c>
      <c r="D198" s="219">
        <v>0</v>
      </c>
      <c r="E198" s="219">
        <v>0</v>
      </c>
      <c r="F198" s="219">
        <v>0</v>
      </c>
      <c r="G198" s="219">
        <v>0</v>
      </c>
      <c r="H198" s="219">
        <v>0</v>
      </c>
      <c r="I198" s="219">
        <v>0</v>
      </c>
      <c r="J198" s="219">
        <v>0</v>
      </c>
      <c r="K198" s="219">
        <v>0</v>
      </c>
      <c r="L198" s="253">
        <v>0</v>
      </c>
      <c r="M198" s="182">
        <f t="shared" si="108"/>
        <v>0</v>
      </c>
      <c r="N198" s="184">
        <f t="shared" si="109"/>
        <v>0</v>
      </c>
      <c r="O198" s="218">
        <v>0</v>
      </c>
      <c r="P198" s="219">
        <v>0</v>
      </c>
      <c r="Q198" s="219">
        <v>0</v>
      </c>
      <c r="R198" s="219">
        <v>0</v>
      </c>
      <c r="S198" s="219">
        <v>0</v>
      </c>
      <c r="T198" s="219">
        <v>0</v>
      </c>
      <c r="U198" s="219">
        <v>0</v>
      </c>
      <c r="V198" s="219">
        <v>0</v>
      </c>
      <c r="W198" s="219">
        <v>0</v>
      </c>
      <c r="X198" s="219">
        <v>0</v>
      </c>
      <c r="Y198" s="253">
        <v>0</v>
      </c>
      <c r="Z198" s="182">
        <f t="shared" si="110"/>
        <v>0</v>
      </c>
      <c r="AA198" s="184">
        <f t="shared" si="111"/>
        <v>0</v>
      </c>
      <c r="AB198" s="795">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796">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069">
        <f t="shared" si="112"/>
        <v>0</v>
      </c>
      <c r="AE198" s="784">
        <f t="shared" si="118"/>
        <v>0</v>
      </c>
      <c r="AF198" s="784">
        <f t="shared" si="119"/>
        <v>0</v>
      </c>
      <c r="AG198" s="784">
        <f t="shared" si="120"/>
        <v>0</v>
      </c>
      <c r="AH198" s="1015">
        <f t="shared" si="116"/>
        <v>0</v>
      </c>
      <c r="AI198" s="784">
        <f t="shared" si="117"/>
        <v>0</v>
      </c>
      <c r="AJ198" s="99"/>
      <c r="AK198" s="99"/>
      <c r="AL198" s="99"/>
      <c r="AM198" s="99"/>
    </row>
    <row r="199" spans="1:48" x14ac:dyDescent="0.2">
      <c r="A199" s="201">
        <v>2026</v>
      </c>
      <c r="B199" s="214">
        <v>0</v>
      </c>
      <c r="C199" s="215">
        <v>0</v>
      </c>
      <c r="D199" s="215">
        <v>0</v>
      </c>
      <c r="E199" s="215">
        <v>0</v>
      </c>
      <c r="F199" s="215">
        <v>0</v>
      </c>
      <c r="G199" s="215">
        <v>0</v>
      </c>
      <c r="H199" s="215">
        <v>0</v>
      </c>
      <c r="I199" s="215">
        <v>0</v>
      </c>
      <c r="J199" s="215">
        <v>0</v>
      </c>
      <c r="K199" s="215">
        <v>0</v>
      </c>
      <c r="L199" s="251">
        <v>0</v>
      </c>
      <c r="M199" s="154">
        <f t="shared" si="108"/>
        <v>0</v>
      </c>
      <c r="N199" s="156">
        <f t="shared" si="109"/>
        <v>0</v>
      </c>
      <c r="O199" s="214">
        <v>0</v>
      </c>
      <c r="P199" s="215">
        <v>0</v>
      </c>
      <c r="Q199" s="215">
        <v>0</v>
      </c>
      <c r="R199" s="215">
        <v>0</v>
      </c>
      <c r="S199" s="215">
        <v>0</v>
      </c>
      <c r="T199" s="215">
        <v>0</v>
      </c>
      <c r="U199" s="215">
        <v>0</v>
      </c>
      <c r="V199" s="215">
        <v>0</v>
      </c>
      <c r="W199" s="215">
        <v>0</v>
      </c>
      <c r="X199" s="215">
        <v>0</v>
      </c>
      <c r="Y199" s="251">
        <v>0</v>
      </c>
      <c r="Z199" s="154">
        <f t="shared" si="110"/>
        <v>0</v>
      </c>
      <c r="AA199" s="156">
        <f t="shared" si="111"/>
        <v>0</v>
      </c>
      <c r="AB199" s="795">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796">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069">
        <f t="shared" si="112"/>
        <v>0</v>
      </c>
      <c r="AE199" s="784">
        <f t="shared" si="118"/>
        <v>0</v>
      </c>
      <c r="AF199" s="784">
        <f t="shared" si="119"/>
        <v>0</v>
      </c>
      <c r="AG199" s="784">
        <f t="shared" si="120"/>
        <v>0</v>
      </c>
      <c r="AH199" s="1015">
        <f t="shared" si="116"/>
        <v>0</v>
      </c>
      <c r="AI199" s="784">
        <f t="shared" si="117"/>
        <v>0</v>
      </c>
      <c r="AJ199" s="99"/>
      <c r="AK199" s="99"/>
      <c r="AL199" s="99"/>
      <c r="AM199" s="99"/>
    </row>
    <row r="200" spans="1:48" x14ac:dyDescent="0.2">
      <c r="A200" s="202">
        <v>2027</v>
      </c>
      <c r="B200" s="216">
        <v>0</v>
      </c>
      <c r="C200" s="217">
        <v>0</v>
      </c>
      <c r="D200" s="217">
        <v>0</v>
      </c>
      <c r="E200" s="217">
        <v>0</v>
      </c>
      <c r="F200" s="217">
        <v>0</v>
      </c>
      <c r="G200" s="217">
        <v>0</v>
      </c>
      <c r="H200" s="217">
        <v>0</v>
      </c>
      <c r="I200" s="217">
        <v>0</v>
      </c>
      <c r="J200" s="217">
        <v>0</v>
      </c>
      <c r="K200" s="217">
        <v>0</v>
      </c>
      <c r="L200" s="252">
        <v>0</v>
      </c>
      <c r="M200" s="168">
        <f t="shared" si="108"/>
        <v>0</v>
      </c>
      <c r="N200" s="170">
        <f t="shared" si="109"/>
        <v>0</v>
      </c>
      <c r="O200" s="216">
        <v>0</v>
      </c>
      <c r="P200" s="217">
        <v>0</v>
      </c>
      <c r="Q200" s="217">
        <v>0</v>
      </c>
      <c r="R200" s="217">
        <v>0</v>
      </c>
      <c r="S200" s="217">
        <v>0</v>
      </c>
      <c r="T200" s="217">
        <v>0</v>
      </c>
      <c r="U200" s="217">
        <v>0</v>
      </c>
      <c r="V200" s="217">
        <v>0</v>
      </c>
      <c r="W200" s="217">
        <v>0</v>
      </c>
      <c r="X200" s="217">
        <v>0</v>
      </c>
      <c r="Y200" s="252">
        <v>0</v>
      </c>
      <c r="Z200" s="168">
        <f t="shared" si="110"/>
        <v>0</v>
      </c>
      <c r="AA200" s="170">
        <f t="shared" si="111"/>
        <v>0</v>
      </c>
      <c r="AB200" s="795">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796">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069">
        <f t="shared" si="112"/>
        <v>0</v>
      </c>
      <c r="AE200" s="784">
        <f t="shared" si="118"/>
        <v>0</v>
      </c>
      <c r="AF200" s="784">
        <f t="shared" si="119"/>
        <v>0</v>
      </c>
      <c r="AG200" s="784">
        <f t="shared" si="120"/>
        <v>0</v>
      </c>
      <c r="AH200" s="1015">
        <f t="shared" si="116"/>
        <v>0</v>
      </c>
      <c r="AI200" s="784">
        <f t="shared" si="117"/>
        <v>0</v>
      </c>
      <c r="AJ200" s="99"/>
      <c r="AK200" s="99"/>
      <c r="AL200" s="99"/>
      <c r="AM200" s="99"/>
    </row>
    <row r="201" spans="1:48" x14ac:dyDescent="0.2">
      <c r="A201" s="202">
        <v>2028</v>
      </c>
      <c r="B201" s="216">
        <v>0</v>
      </c>
      <c r="C201" s="217">
        <v>0</v>
      </c>
      <c r="D201" s="217">
        <v>0</v>
      </c>
      <c r="E201" s="217">
        <v>0</v>
      </c>
      <c r="F201" s="217">
        <v>0</v>
      </c>
      <c r="G201" s="217">
        <v>0</v>
      </c>
      <c r="H201" s="217">
        <v>0</v>
      </c>
      <c r="I201" s="217">
        <v>0</v>
      </c>
      <c r="J201" s="217">
        <v>0</v>
      </c>
      <c r="K201" s="217">
        <v>0</v>
      </c>
      <c r="L201" s="252">
        <v>0</v>
      </c>
      <c r="M201" s="168">
        <f t="shared" si="108"/>
        <v>0</v>
      </c>
      <c r="N201" s="170">
        <f t="shared" si="109"/>
        <v>0</v>
      </c>
      <c r="O201" s="216">
        <v>0</v>
      </c>
      <c r="P201" s="217">
        <v>0</v>
      </c>
      <c r="Q201" s="217">
        <v>0</v>
      </c>
      <c r="R201" s="217">
        <v>0</v>
      </c>
      <c r="S201" s="217">
        <v>0</v>
      </c>
      <c r="T201" s="217">
        <v>0</v>
      </c>
      <c r="U201" s="217">
        <v>0</v>
      </c>
      <c r="V201" s="217">
        <v>0</v>
      </c>
      <c r="W201" s="217">
        <v>0</v>
      </c>
      <c r="X201" s="217">
        <v>0</v>
      </c>
      <c r="Y201" s="252">
        <v>0</v>
      </c>
      <c r="Z201" s="168">
        <f t="shared" si="110"/>
        <v>0</v>
      </c>
      <c r="AA201" s="170">
        <f t="shared" si="111"/>
        <v>0</v>
      </c>
      <c r="AB201" s="795">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796">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069">
        <f t="shared" si="112"/>
        <v>0</v>
      </c>
      <c r="AE201" s="784">
        <f t="shared" si="118"/>
        <v>0</v>
      </c>
      <c r="AF201" s="784">
        <f t="shared" si="119"/>
        <v>0</v>
      </c>
      <c r="AG201" s="784">
        <f t="shared" si="120"/>
        <v>0</v>
      </c>
      <c r="AH201" s="1015">
        <f t="shared" si="116"/>
        <v>0</v>
      </c>
      <c r="AI201" s="784">
        <f t="shared" si="117"/>
        <v>0</v>
      </c>
      <c r="AJ201" s="99"/>
      <c r="AK201" s="99"/>
      <c r="AL201" s="99"/>
      <c r="AM201" s="99"/>
    </row>
    <row r="202" spans="1:48" x14ac:dyDescent="0.2">
      <c r="A202" s="202">
        <v>2029</v>
      </c>
      <c r="B202" s="216">
        <v>0</v>
      </c>
      <c r="C202" s="217">
        <v>0</v>
      </c>
      <c r="D202" s="217">
        <v>0</v>
      </c>
      <c r="E202" s="217">
        <v>0</v>
      </c>
      <c r="F202" s="217">
        <v>0</v>
      </c>
      <c r="G202" s="217">
        <v>0</v>
      </c>
      <c r="H202" s="217">
        <v>0</v>
      </c>
      <c r="I202" s="217">
        <v>0</v>
      </c>
      <c r="J202" s="217">
        <v>0</v>
      </c>
      <c r="K202" s="217">
        <v>0</v>
      </c>
      <c r="L202" s="252">
        <v>0</v>
      </c>
      <c r="M202" s="168">
        <f t="shared" si="108"/>
        <v>0</v>
      </c>
      <c r="N202" s="170">
        <f t="shared" si="109"/>
        <v>0</v>
      </c>
      <c r="O202" s="216">
        <v>0</v>
      </c>
      <c r="P202" s="217">
        <v>0</v>
      </c>
      <c r="Q202" s="217">
        <v>0</v>
      </c>
      <c r="R202" s="217">
        <v>0</v>
      </c>
      <c r="S202" s="217">
        <v>0</v>
      </c>
      <c r="T202" s="217">
        <v>0</v>
      </c>
      <c r="U202" s="217">
        <v>0</v>
      </c>
      <c r="V202" s="217">
        <v>0</v>
      </c>
      <c r="W202" s="217">
        <v>0</v>
      </c>
      <c r="X202" s="217">
        <v>0</v>
      </c>
      <c r="Y202" s="252">
        <v>0</v>
      </c>
      <c r="Z202" s="168">
        <f t="shared" si="110"/>
        <v>0</v>
      </c>
      <c r="AA202" s="170">
        <f t="shared" si="111"/>
        <v>0</v>
      </c>
      <c r="AB202" s="795">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796">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069">
        <f t="shared" si="112"/>
        <v>0</v>
      </c>
      <c r="AE202" s="784">
        <f t="shared" si="118"/>
        <v>0</v>
      </c>
      <c r="AF202" s="784">
        <f t="shared" si="119"/>
        <v>0</v>
      </c>
      <c r="AG202" s="784">
        <f t="shared" si="120"/>
        <v>0</v>
      </c>
      <c r="AH202" s="1015">
        <f t="shared" si="116"/>
        <v>0</v>
      </c>
      <c r="AI202" s="784">
        <f t="shared" si="117"/>
        <v>0</v>
      </c>
      <c r="AJ202" s="99"/>
      <c r="AK202" s="99"/>
      <c r="AL202" s="99"/>
      <c r="AM202" s="99"/>
    </row>
    <row r="203" spans="1:48" ht="13.5" thickBot="1" x14ac:dyDescent="0.25">
      <c r="A203" s="200">
        <v>2030</v>
      </c>
      <c r="B203" s="218">
        <v>0</v>
      </c>
      <c r="C203" s="219">
        <v>0</v>
      </c>
      <c r="D203" s="219">
        <v>0</v>
      </c>
      <c r="E203" s="219">
        <v>0</v>
      </c>
      <c r="F203" s="219">
        <v>0</v>
      </c>
      <c r="G203" s="219">
        <v>0</v>
      </c>
      <c r="H203" s="219">
        <v>0</v>
      </c>
      <c r="I203" s="219">
        <v>0</v>
      </c>
      <c r="J203" s="219">
        <v>0</v>
      </c>
      <c r="K203" s="219">
        <v>0</v>
      </c>
      <c r="L203" s="253">
        <v>0</v>
      </c>
      <c r="M203" s="182">
        <f t="shared" si="108"/>
        <v>0</v>
      </c>
      <c r="N203" s="184">
        <f t="shared" si="109"/>
        <v>0</v>
      </c>
      <c r="O203" s="218">
        <v>0</v>
      </c>
      <c r="P203" s="219">
        <v>0</v>
      </c>
      <c r="Q203" s="219">
        <v>0</v>
      </c>
      <c r="R203" s="219">
        <v>0</v>
      </c>
      <c r="S203" s="219">
        <v>0</v>
      </c>
      <c r="T203" s="219">
        <v>0</v>
      </c>
      <c r="U203" s="219">
        <v>0</v>
      </c>
      <c r="V203" s="219">
        <v>0</v>
      </c>
      <c r="W203" s="219">
        <v>0</v>
      </c>
      <c r="X203" s="219">
        <v>0</v>
      </c>
      <c r="Y203" s="253">
        <v>0</v>
      </c>
      <c r="Z203" s="182">
        <f t="shared" si="110"/>
        <v>0</v>
      </c>
      <c r="AA203" s="184">
        <f t="shared" si="111"/>
        <v>0</v>
      </c>
      <c r="AB203" s="795">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796">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069">
        <f t="shared" si="112"/>
        <v>0</v>
      </c>
      <c r="AE203" s="784">
        <f t="shared" si="118"/>
        <v>0</v>
      </c>
      <c r="AF203" s="784">
        <f t="shared" si="119"/>
        <v>0</v>
      </c>
      <c r="AG203" s="784">
        <f t="shared" si="120"/>
        <v>0</v>
      </c>
      <c r="AH203" s="1015">
        <f t="shared" si="116"/>
        <v>0</v>
      </c>
      <c r="AI203" s="784">
        <f t="shared" si="117"/>
        <v>0</v>
      </c>
      <c r="AJ203" s="99"/>
      <c r="AK203" s="99"/>
      <c r="AL203" s="99"/>
      <c r="AM203" s="99"/>
    </row>
    <row r="204" spans="1:48" x14ac:dyDescent="0.2">
      <c r="A204" s="201">
        <v>2031</v>
      </c>
      <c r="B204" s="214">
        <v>0</v>
      </c>
      <c r="C204" s="215">
        <v>0</v>
      </c>
      <c r="D204" s="215">
        <v>0</v>
      </c>
      <c r="E204" s="215">
        <v>0</v>
      </c>
      <c r="F204" s="215">
        <v>0</v>
      </c>
      <c r="G204" s="215">
        <v>0</v>
      </c>
      <c r="H204" s="215">
        <v>0</v>
      </c>
      <c r="I204" s="215">
        <v>0</v>
      </c>
      <c r="J204" s="215">
        <v>0</v>
      </c>
      <c r="K204" s="215">
        <v>0</v>
      </c>
      <c r="L204" s="251">
        <v>0</v>
      </c>
      <c r="M204" s="154">
        <f t="shared" si="108"/>
        <v>0</v>
      </c>
      <c r="N204" s="156">
        <f t="shared" si="109"/>
        <v>0</v>
      </c>
      <c r="O204" s="214">
        <v>0</v>
      </c>
      <c r="P204" s="215">
        <v>0</v>
      </c>
      <c r="Q204" s="215">
        <v>0</v>
      </c>
      <c r="R204" s="215">
        <v>0</v>
      </c>
      <c r="S204" s="215">
        <v>0</v>
      </c>
      <c r="T204" s="215">
        <v>0</v>
      </c>
      <c r="U204" s="215">
        <v>0</v>
      </c>
      <c r="V204" s="215">
        <v>0</v>
      </c>
      <c r="W204" s="215">
        <v>0</v>
      </c>
      <c r="X204" s="215">
        <v>0</v>
      </c>
      <c r="Y204" s="251">
        <v>0</v>
      </c>
      <c r="Z204" s="154">
        <f t="shared" si="110"/>
        <v>0</v>
      </c>
      <c r="AA204" s="156">
        <f t="shared" si="111"/>
        <v>0</v>
      </c>
      <c r="AB204" s="795">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796">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069">
        <f t="shared" si="112"/>
        <v>0</v>
      </c>
      <c r="AE204" s="784">
        <f t="shared" si="118"/>
        <v>0</v>
      </c>
      <c r="AF204" s="784">
        <f t="shared" si="119"/>
        <v>0</v>
      </c>
      <c r="AG204" s="784">
        <f t="shared" si="120"/>
        <v>0</v>
      </c>
      <c r="AH204" s="1015">
        <f t="shared" si="116"/>
        <v>0</v>
      </c>
      <c r="AI204" s="784">
        <f t="shared" si="117"/>
        <v>0</v>
      </c>
      <c r="AJ204" s="99"/>
      <c r="AK204" s="99"/>
      <c r="AL204" s="99"/>
      <c r="AM204" s="99"/>
    </row>
    <row r="205" spans="1:48" x14ac:dyDescent="0.2">
      <c r="A205" s="202">
        <v>2032</v>
      </c>
      <c r="B205" s="216">
        <v>0</v>
      </c>
      <c r="C205" s="217">
        <v>0</v>
      </c>
      <c r="D205" s="217">
        <v>0</v>
      </c>
      <c r="E205" s="217">
        <v>0</v>
      </c>
      <c r="F205" s="217">
        <v>0</v>
      </c>
      <c r="G205" s="217">
        <v>0</v>
      </c>
      <c r="H205" s="217">
        <v>0</v>
      </c>
      <c r="I205" s="217">
        <v>0</v>
      </c>
      <c r="J205" s="217">
        <v>0</v>
      </c>
      <c r="K205" s="217">
        <v>0</v>
      </c>
      <c r="L205" s="252">
        <v>0</v>
      </c>
      <c r="M205" s="168">
        <f t="shared" si="108"/>
        <v>0</v>
      </c>
      <c r="N205" s="170">
        <f t="shared" si="109"/>
        <v>0</v>
      </c>
      <c r="O205" s="216">
        <v>0</v>
      </c>
      <c r="P205" s="217">
        <v>0</v>
      </c>
      <c r="Q205" s="217">
        <v>0</v>
      </c>
      <c r="R205" s="217">
        <v>0</v>
      </c>
      <c r="S205" s="217">
        <v>0</v>
      </c>
      <c r="T205" s="217">
        <v>0</v>
      </c>
      <c r="U205" s="217">
        <v>0</v>
      </c>
      <c r="V205" s="217">
        <v>0</v>
      </c>
      <c r="W205" s="217">
        <v>0</v>
      </c>
      <c r="X205" s="217">
        <v>0</v>
      </c>
      <c r="Y205" s="252">
        <v>0</v>
      </c>
      <c r="Z205" s="168">
        <f t="shared" si="110"/>
        <v>0</v>
      </c>
      <c r="AA205" s="170">
        <f t="shared" si="111"/>
        <v>0</v>
      </c>
      <c r="AB205" s="795">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796">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069">
        <f t="shared" si="112"/>
        <v>0</v>
      </c>
      <c r="AE205" s="784">
        <f t="shared" si="118"/>
        <v>0</v>
      </c>
      <c r="AF205" s="784">
        <f t="shared" si="119"/>
        <v>0</v>
      </c>
      <c r="AG205" s="784">
        <f t="shared" si="120"/>
        <v>0</v>
      </c>
      <c r="AH205" s="1015">
        <f t="shared" si="116"/>
        <v>0</v>
      </c>
      <c r="AI205" s="784">
        <f t="shared" si="117"/>
        <v>0</v>
      </c>
      <c r="AJ205" s="99"/>
      <c r="AK205" s="99"/>
      <c r="AL205" s="99"/>
      <c r="AM205" s="99"/>
    </row>
    <row r="206" spans="1:48" x14ac:dyDescent="0.2">
      <c r="A206" s="202">
        <v>2033</v>
      </c>
      <c r="B206" s="216">
        <v>0</v>
      </c>
      <c r="C206" s="217">
        <v>0</v>
      </c>
      <c r="D206" s="217">
        <v>0</v>
      </c>
      <c r="E206" s="217">
        <v>0</v>
      </c>
      <c r="F206" s="217">
        <v>0</v>
      </c>
      <c r="G206" s="217">
        <v>0</v>
      </c>
      <c r="H206" s="217">
        <v>0</v>
      </c>
      <c r="I206" s="217">
        <v>0</v>
      </c>
      <c r="J206" s="217">
        <v>0</v>
      </c>
      <c r="K206" s="217">
        <v>0</v>
      </c>
      <c r="L206" s="252">
        <v>0</v>
      </c>
      <c r="M206" s="168">
        <f t="shared" si="108"/>
        <v>0</v>
      </c>
      <c r="N206" s="170">
        <f t="shared" si="109"/>
        <v>0</v>
      </c>
      <c r="O206" s="216">
        <v>0</v>
      </c>
      <c r="P206" s="217">
        <v>0</v>
      </c>
      <c r="Q206" s="217">
        <v>0</v>
      </c>
      <c r="R206" s="217">
        <v>0</v>
      </c>
      <c r="S206" s="217">
        <v>0</v>
      </c>
      <c r="T206" s="217">
        <v>0</v>
      </c>
      <c r="U206" s="217">
        <v>0</v>
      </c>
      <c r="V206" s="217">
        <v>0</v>
      </c>
      <c r="W206" s="217">
        <v>0</v>
      </c>
      <c r="X206" s="217">
        <v>0</v>
      </c>
      <c r="Y206" s="252">
        <v>0</v>
      </c>
      <c r="Z206" s="168">
        <f t="shared" si="110"/>
        <v>0</v>
      </c>
      <c r="AA206" s="170">
        <f t="shared" si="111"/>
        <v>0</v>
      </c>
      <c r="AB206" s="795">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796">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069">
        <f>AB206*AH206+AC206*AI206</f>
        <v>0</v>
      </c>
      <c r="AE206" s="784">
        <f t="shared" si="118"/>
        <v>0</v>
      </c>
      <c r="AF206" s="784">
        <f t="shared" si="119"/>
        <v>0</v>
      </c>
      <c r="AG206" s="784">
        <f t="shared" si="120"/>
        <v>0</v>
      </c>
      <c r="AH206" s="1015">
        <f t="shared" si="116"/>
        <v>0</v>
      </c>
      <c r="AI206" s="784">
        <f t="shared" si="117"/>
        <v>0</v>
      </c>
      <c r="AJ206" s="99"/>
      <c r="AK206" s="99"/>
      <c r="AL206" s="99"/>
      <c r="AM206" s="99"/>
    </row>
    <row r="207" spans="1:48" x14ac:dyDescent="0.2">
      <c r="A207" s="202">
        <v>2034</v>
      </c>
      <c r="B207" s="216">
        <v>0</v>
      </c>
      <c r="C207" s="217">
        <v>0</v>
      </c>
      <c r="D207" s="217">
        <v>0</v>
      </c>
      <c r="E207" s="217">
        <v>0</v>
      </c>
      <c r="F207" s="217">
        <v>0</v>
      </c>
      <c r="G207" s="217">
        <v>0</v>
      </c>
      <c r="H207" s="217">
        <v>0</v>
      </c>
      <c r="I207" s="217">
        <v>0</v>
      </c>
      <c r="J207" s="217">
        <v>0</v>
      </c>
      <c r="K207" s="217">
        <v>0</v>
      </c>
      <c r="L207" s="252">
        <v>0</v>
      </c>
      <c r="M207" s="168">
        <f t="shared" si="108"/>
        <v>0</v>
      </c>
      <c r="N207" s="170">
        <f t="shared" si="109"/>
        <v>0</v>
      </c>
      <c r="O207" s="216">
        <v>0</v>
      </c>
      <c r="P207" s="217">
        <v>0</v>
      </c>
      <c r="Q207" s="217">
        <v>0</v>
      </c>
      <c r="R207" s="217">
        <v>0</v>
      </c>
      <c r="S207" s="217">
        <v>0</v>
      </c>
      <c r="T207" s="217">
        <v>0</v>
      </c>
      <c r="U207" s="217">
        <v>0</v>
      </c>
      <c r="V207" s="217">
        <v>0</v>
      </c>
      <c r="W207" s="217">
        <v>0</v>
      </c>
      <c r="X207" s="217">
        <v>0</v>
      </c>
      <c r="Y207" s="252">
        <v>0</v>
      </c>
      <c r="Z207" s="168">
        <f t="shared" si="110"/>
        <v>0</v>
      </c>
      <c r="AA207" s="170">
        <f t="shared" si="111"/>
        <v>0</v>
      </c>
      <c r="AB207" s="795">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796">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069">
        <f t="shared" ref="AD207:AD223" si="121">AB207*AH207+AC207*AI207</f>
        <v>0</v>
      </c>
      <c r="AE207" s="784">
        <f t="shared" si="118"/>
        <v>0</v>
      </c>
      <c r="AF207" s="784">
        <f t="shared" si="119"/>
        <v>0</v>
      </c>
      <c r="AG207" s="784">
        <f t="shared" si="120"/>
        <v>0</v>
      </c>
      <c r="AH207" s="1015">
        <f t="shared" si="116"/>
        <v>0</v>
      </c>
      <c r="AI207" s="784">
        <f t="shared" si="117"/>
        <v>0</v>
      </c>
      <c r="AJ207" s="99"/>
      <c r="AK207" s="99"/>
      <c r="AL207" s="99"/>
      <c r="AM207" s="99"/>
    </row>
    <row r="208" spans="1:48" ht="13.5" thickBot="1" x14ac:dyDescent="0.25">
      <c r="A208" s="200">
        <v>2035</v>
      </c>
      <c r="B208" s="218">
        <v>0</v>
      </c>
      <c r="C208" s="219">
        <v>0</v>
      </c>
      <c r="D208" s="219">
        <v>0</v>
      </c>
      <c r="E208" s="219">
        <v>0</v>
      </c>
      <c r="F208" s="219">
        <v>0</v>
      </c>
      <c r="G208" s="219">
        <v>0</v>
      </c>
      <c r="H208" s="219">
        <v>0</v>
      </c>
      <c r="I208" s="219">
        <v>0</v>
      </c>
      <c r="J208" s="219">
        <v>0</v>
      </c>
      <c r="K208" s="219">
        <v>0</v>
      </c>
      <c r="L208" s="253">
        <v>0</v>
      </c>
      <c r="M208" s="182">
        <f t="shared" si="108"/>
        <v>0</v>
      </c>
      <c r="N208" s="184">
        <f t="shared" si="109"/>
        <v>0</v>
      </c>
      <c r="O208" s="218">
        <v>0</v>
      </c>
      <c r="P208" s="219">
        <v>0</v>
      </c>
      <c r="Q208" s="219">
        <v>0</v>
      </c>
      <c r="R208" s="219">
        <v>0</v>
      </c>
      <c r="S208" s="219">
        <v>0</v>
      </c>
      <c r="T208" s="219">
        <v>0</v>
      </c>
      <c r="U208" s="219">
        <v>0</v>
      </c>
      <c r="V208" s="219">
        <v>0</v>
      </c>
      <c r="W208" s="219">
        <v>0</v>
      </c>
      <c r="X208" s="219">
        <v>0</v>
      </c>
      <c r="Y208" s="253">
        <v>0</v>
      </c>
      <c r="Z208" s="182">
        <f t="shared" si="110"/>
        <v>0</v>
      </c>
      <c r="AA208" s="184">
        <f t="shared" si="111"/>
        <v>0</v>
      </c>
      <c r="AB208" s="795">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796">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069">
        <f t="shared" si="121"/>
        <v>0</v>
      </c>
      <c r="AE208" s="784">
        <f t="shared" si="118"/>
        <v>0</v>
      </c>
      <c r="AF208" s="784">
        <f t="shared" si="119"/>
        <v>0</v>
      </c>
      <c r="AG208" s="784">
        <f t="shared" si="120"/>
        <v>0</v>
      </c>
      <c r="AH208" s="1015">
        <f t="shared" si="116"/>
        <v>0</v>
      </c>
      <c r="AI208" s="784">
        <f t="shared" si="117"/>
        <v>0</v>
      </c>
      <c r="AJ208" s="99"/>
      <c r="AK208" s="99"/>
      <c r="AL208" s="99"/>
      <c r="AM208" s="99"/>
    </row>
    <row r="209" spans="1:39" x14ac:dyDescent="0.2">
      <c r="A209" s="201">
        <v>2036</v>
      </c>
      <c r="B209" s="214">
        <v>0</v>
      </c>
      <c r="C209" s="215">
        <v>0</v>
      </c>
      <c r="D209" s="215">
        <v>0</v>
      </c>
      <c r="E209" s="215">
        <v>0</v>
      </c>
      <c r="F209" s="215">
        <v>0</v>
      </c>
      <c r="G209" s="215">
        <v>0</v>
      </c>
      <c r="H209" s="215">
        <v>0</v>
      </c>
      <c r="I209" s="215">
        <v>0</v>
      </c>
      <c r="J209" s="215">
        <v>0</v>
      </c>
      <c r="K209" s="215">
        <v>0</v>
      </c>
      <c r="L209" s="251">
        <v>0</v>
      </c>
      <c r="M209" s="154">
        <f t="shared" si="108"/>
        <v>0</v>
      </c>
      <c r="N209" s="156">
        <f t="shared" si="109"/>
        <v>0</v>
      </c>
      <c r="O209" s="214">
        <v>0</v>
      </c>
      <c r="P209" s="215">
        <v>0</v>
      </c>
      <c r="Q209" s="215">
        <v>0</v>
      </c>
      <c r="R209" s="215">
        <v>0</v>
      </c>
      <c r="S209" s="215">
        <v>0</v>
      </c>
      <c r="T209" s="215">
        <v>0</v>
      </c>
      <c r="U209" s="215">
        <v>0</v>
      </c>
      <c r="V209" s="215">
        <v>0</v>
      </c>
      <c r="W209" s="215">
        <v>0</v>
      </c>
      <c r="X209" s="215">
        <v>0</v>
      </c>
      <c r="Y209" s="251">
        <v>0</v>
      </c>
      <c r="Z209" s="154">
        <f t="shared" si="110"/>
        <v>0</v>
      </c>
      <c r="AA209" s="156">
        <f t="shared" si="111"/>
        <v>0</v>
      </c>
      <c r="AB209" s="795">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796">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069">
        <f t="shared" si="121"/>
        <v>0</v>
      </c>
      <c r="AE209" s="784">
        <f t="shared" si="118"/>
        <v>0</v>
      </c>
      <c r="AF209" s="784">
        <f t="shared" si="119"/>
        <v>0</v>
      </c>
      <c r="AG209" s="784">
        <f t="shared" si="120"/>
        <v>0</v>
      </c>
      <c r="AH209" s="1015">
        <f t="shared" si="116"/>
        <v>0</v>
      </c>
      <c r="AI209" s="784">
        <f t="shared" si="117"/>
        <v>0</v>
      </c>
      <c r="AJ209" s="99"/>
      <c r="AK209" s="99"/>
      <c r="AL209" s="99"/>
      <c r="AM209" s="99"/>
    </row>
    <row r="210" spans="1:39" x14ac:dyDescent="0.2">
      <c r="A210" s="202">
        <v>2037</v>
      </c>
      <c r="B210" s="216">
        <v>0</v>
      </c>
      <c r="C210" s="217">
        <v>0</v>
      </c>
      <c r="D210" s="217">
        <v>0</v>
      </c>
      <c r="E210" s="217">
        <v>0</v>
      </c>
      <c r="F210" s="217">
        <v>0</v>
      </c>
      <c r="G210" s="217">
        <v>0</v>
      </c>
      <c r="H210" s="217">
        <v>0</v>
      </c>
      <c r="I210" s="217">
        <v>0</v>
      </c>
      <c r="J210" s="217">
        <v>0</v>
      </c>
      <c r="K210" s="217">
        <v>0</v>
      </c>
      <c r="L210" s="252">
        <v>0</v>
      </c>
      <c r="M210" s="168">
        <f t="shared" si="108"/>
        <v>0</v>
      </c>
      <c r="N210" s="170">
        <f t="shared" si="109"/>
        <v>0</v>
      </c>
      <c r="O210" s="216">
        <v>0</v>
      </c>
      <c r="P210" s="217">
        <v>0</v>
      </c>
      <c r="Q210" s="217">
        <v>0</v>
      </c>
      <c r="R210" s="217">
        <v>0</v>
      </c>
      <c r="S210" s="217">
        <v>0</v>
      </c>
      <c r="T210" s="217">
        <v>0</v>
      </c>
      <c r="U210" s="217">
        <v>0</v>
      </c>
      <c r="V210" s="217">
        <v>0</v>
      </c>
      <c r="W210" s="217">
        <v>0</v>
      </c>
      <c r="X210" s="217">
        <v>0</v>
      </c>
      <c r="Y210" s="252">
        <v>0</v>
      </c>
      <c r="Z210" s="168">
        <f t="shared" si="110"/>
        <v>0</v>
      </c>
      <c r="AA210" s="170">
        <f t="shared" si="111"/>
        <v>0</v>
      </c>
      <c r="AB210" s="795">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796">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069">
        <f t="shared" si="121"/>
        <v>0</v>
      </c>
      <c r="AE210" s="784">
        <f t="shared" si="118"/>
        <v>0</v>
      </c>
      <c r="AF210" s="784">
        <f t="shared" si="119"/>
        <v>0</v>
      </c>
      <c r="AG210" s="784">
        <f t="shared" si="120"/>
        <v>0</v>
      </c>
      <c r="AH210" s="1015">
        <f t="shared" si="116"/>
        <v>0</v>
      </c>
      <c r="AI210" s="784">
        <f t="shared" si="117"/>
        <v>0</v>
      </c>
      <c r="AJ210" s="99"/>
      <c r="AK210" s="99"/>
      <c r="AL210" s="99"/>
      <c r="AM210" s="99"/>
    </row>
    <row r="211" spans="1:39" x14ac:dyDescent="0.2">
      <c r="A211" s="202">
        <v>2038</v>
      </c>
      <c r="B211" s="216">
        <v>0</v>
      </c>
      <c r="C211" s="217">
        <v>0</v>
      </c>
      <c r="D211" s="217">
        <v>0</v>
      </c>
      <c r="E211" s="217">
        <v>0</v>
      </c>
      <c r="F211" s="217">
        <v>0</v>
      </c>
      <c r="G211" s="217">
        <v>0</v>
      </c>
      <c r="H211" s="217">
        <v>0</v>
      </c>
      <c r="I211" s="217">
        <v>0</v>
      </c>
      <c r="J211" s="217">
        <v>0</v>
      </c>
      <c r="K211" s="217">
        <v>0</v>
      </c>
      <c r="L211" s="252">
        <v>0</v>
      </c>
      <c r="M211" s="168">
        <f t="shared" si="108"/>
        <v>0</v>
      </c>
      <c r="N211" s="170">
        <f t="shared" si="109"/>
        <v>0</v>
      </c>
      <c r="O211" s="216">
        <v>0</v>
      </c>
      <c r="P211" s="217">
        <v>0</v>
      </c>
      <c r="Q211" s="217">
        <v>0</v>
      </c>
      <c r="R211" s="217">
        <v>0</v>
      </c>
      <c r="S211" s="217">
        <v>0</v>
      </c>
      <c r="T211" s="217">
        <v>0</v>
      </c>
      <c r="U211" s="217">
        <v>0</v>
      </c>
      <c r="V211" s="217">
        <v>0</v>
      </c>
      <c r="W211" s="217">
        <v>0</v>
      </c>
      <c r="X211" s="217">
        <v>0</v>
      </c>
      <c r="Y211" s="252">
        <v>0</v>
      </c>
      <c r="Z211" s="168">
        <f t="shared" si="110"/>
        <v>0</v>
      </c>
      <c r="AA211" s="170">
        <f t="shared" si="111"/>
        <v>0</v>
      </c>
      <c r="AB211" s="795">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796">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069">
        <f t="shared" si="121"/>
        <v>0</v>
      </c>
      <c r="AE211" s="784">
        <f t="shared" si="118"/>
        <v>0</v>
      </c>
      <c r="AF211" s="784">
        <f t="shared" si="119"/>
        <v>0</v>
      </c>
      <c r="AG211" s="784">
        <f t="shared" si="120"/>
        <v>0</v>
      </c>
      <c r="AH211" s="1015">
        <f t="shared" si="116"/>
        <v>0</v>
      </c>
      <c r="AI211" s="784">
        <f t="shared" si="117"/>
        <v>0</v>
      </c>
      <c r="AJ211" s="99"/>
      <c r="AK211" s="99"/>
      <c r="AL211" s="99"/>
      <c r="AM211" s="99"/>
    </row>
    <row r="212" spans="1:39" x14ac:dyDescent="0.2">
      <c r="A212" s="202">
        <v>2039</v>
      </c>
      <c r="B212" s="216">
        <v>0</v>
      </c>
      <c r="C212" s="217">
        <v>0</v>
      </c>
      <c r="D212" s="217">
        <v>0</v>
      </c>
      <c r="E212" s="217">
        <v>0</v>
      </c>
      <c r="F212" s="217">
        <v>0</v>
      </c>
      <c r="G212" s="217">
        <v>0</v>
      </c>
      <c r="H212" s="217">
        <v>0</v>
      </c>
      <c r="I212" s="217">
        <v>0</v>
      </c>
      <c r="J212" s="217">
        <v>0</v>
      </c>
      <c r="K212" s="217">
        <v>0</v>
      </c>
      <c r="L212" s="252">
        <v>0</v>
      </c>
      <c r="M212" s="168">
        <f t="shared" si="108"/>
        <v>0</v>
      </c>
      <c r="N212" s="170">
        <f t="shared" si="109"/>
        <v>0</v>
      </c>
      <c r="O212" s="216">
        <v>0</v>
      </c>
      <c r="P212" s="217">
        <v>0</v>
      </c>
      <c r="Q212" s="217">
        <v>0</v>
      </c>
      <c r="R212" s="217">
        <v>0</v>
      </c>
      <c r="S212" s="217">
        <v>0</v>
      </c>
      <c r="T212" s="217">
        <v>0</v>
      </c>
      <c r="U212" s="217">
        <v>0</v>
      </c>
      <c r="V212" s="217">
        <v>0</v>
      </c>
      <c r="W212" s="217">
        <v>0</v>
      </c>
      <c r="X212" s="217">
        <v>0</v>
      </c>
      <c r="Y212" s="252">
        <v>0</v>
      </c>
      <c r="Z212" s="168">
        <f t="shared" si="110"/>
        <v>0</v>
      </c>
      <c r="AA212" s="170">
        <f t="shared" si="111"/>
        <v>0</v>
      </c>
      <c r="AB212" s="795">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796">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069">
        <f t="shared" si="121"/>
        <v>0</v>
      </c>
      <c r="AE212" s="784">
        <f t="shared" si="118"/>
        <v>0</v>
      </c>
      <c r="AF212" s="784">
        <f t="shared" si="119"/>
        <v>0</v>
      </c>
      <c r="AG212" s="784">
        <f t="shared" si="120"/>
        <v>0</v>
      </c>
      <c r="AH212" s="1015">
        <f t="shared" si="116"/>
        <v>0</v>
      </c>
      <c r="AI212" s="784">
        <f t="shared" si="117"/>
        <v>0</v>
      </c>
      <c r="AJ212" s="99"/>
      <c r="AK212" s="99"/>
      <c r="AL212" s="99"/>
      <c r="AM212" s="99"/>
    </row>
    <row r="213" spans="1:39" ht="13.5" thickBot="1" x14ac:dyDescent="0.25">
      <c r="A213" s="200">
        <v>2040</v>
      </c>
      <c r="B213" s="218">
        <v>0</v>
      </c>
      <c r="C213" s="219">
        <v>0</v>
      </c>
      <c r="D213" s="219">
        <v>0</v>
      </c>
      <c r="E213" s="219">
        <v>0</v>
      </c>
      <c r="F213" s="219">
        <v>0</v>
      </c>
      <c r="G213" s="219">
        <v>0</v>
      </c>
      <c r="H213" s="219">
        <v>0</v>
      </c>
      <c r="I213" s="219">
        <v>0</v>
      </c>
      <c r="J213" s="219">
        <v>0</v>
      </c>
      <c r="K213" s="219">
        <v>0</v>
      </c>
      <c r="L213" s="253">
        <v>0</v>
      </c>
      <c r="M213" s="182">
        <f t="shared" si="108"/>
        <v>0</v>
      </c>
      <c r="N213" s="184">
        <f t="shared" si="109"/>
        <v>0</v>
      </c>
      <c r="O213" s="218">
        <v>0</v>
      </c>
      <c r="P213" s="219">
        <v>0</v>
      </c>
      <c r="Q213" s="219">
        <v>0</v>
      </c>
      <c r="R213" s="219">
        <v>0</v>
      </c>
      <c r="S213" s="219">
        <v>0</v>
      </c>
      <c r="T213" s="219">
        <v>0</v>
      </c>
      <c r="U213" s="219">
        <v>0</v>
      </c>
      <c r="V213" s="219">
        <v>0</v>
      </c>
      <c r="W213" s="219">
        <v>0</v>
      </c>
      <c r="X213" s="219">
        <v>0</v>
      </c>
      <c r="Y213" s="253">
        <v>0</v>
      </c>
      <c r="Z213" s="182">
        <f t="shared" si="110"/>
        <v>0</v>
      </c>
      <c r="AA213" s="184">
        <f t="shared" si="111"/>
        <v>0</v>
      </c>
      <c r="AB213" s="795">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796">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069">
        <f t="shared" si="121"/>
        <v>0</v>
      </c>
      <c r="AE213" s="784">
        <f t="shared" si="118"/>
        <v>0</v>
      </c>
      <c r="AF213" s="784">
        <f t="shared" si="119"/>
        <v>0</v>
      </c>
      <c r="AG213" s="784">
        <f t="shared" si="120"/>
        <v>0</v>
      </c>
      <c r="AH213" s="1015">
        <f t="shared" si="116"/>
        <v>0</v>
      </c>
      <c r="AI213" s="784">
        <f t="shared" si="117"/>
        <v>0</v>
      </c>
      <c r="AJ213" s="99"/>
      <c r="AK213" s="99"/>
      <c r="AL213" s="99"/>
      <c r="AM213" s="99"/>
    </row>
    <row r="214" spans="1:39" x14ac:dyDescent="0.2">
      <c r="A214" s="201">
        <v>2041</v>
      </c>
      <c r="B214" s="214">
        <v>0</v>
      </c>
      <c r="C214" s="215">
        <v>0</v>
      </c>
      <c r="D214" s="215">
        <v>0</v>
      </c>
      <c r="E214" s="215">
        <v>0</v>
      </c>
      <c r="F214" s="215">
        <v>0</v>
      </c>
      <c r="G214" s="215">
        <v>0</v>
      </c>
      <c r="H214" s="215">
        <v>0</v>
      </c>
      <c r="I214" s="215">
        <v>0</v>
      </c>
      <c r="J214" s="215">
        <v>0</v>
      </c>
      <c r="K214" s="215">
        <v>0</v>
      </c>
      <c r="L214" s="251">
        <v>0</v>
      </c>
      <c r="M214" s="154">
        <f t="shared" si="108"/>
        <v>0</v>
      </c>
      <c r="N214" s="156">
        <f t="shared" si="109"/>
        <v>0</v>
      </c>
      <c r="O214" s="214">
        <v>0</v>
      </c>
      <c r="P214" s="215">
        <v>0</v>
      </c>
      <c r="Q214" s="215">
        <v>0</v>
      </c>
      <c r="R214" s="215">
        <v>0</v>
      </c>
      <c r="S214" s="215">
        <v>0</v>
      </c>
      <c r="T214" s="215">
        <v>0</v>
      </c>
      <c r="U214" s="215">
        <v>0</v>
      </c>
      <c r="V214" s="215">
        <v>0</v>
      </c>
      <c r="W214" s="215">
        <v>0</v>
      </c>
      <c r="X214" s="215">
        <v>0</v>
      </c>
      <c r="Y214" s="251">
        <v>0</v>
      </c>
      <c r="Z214" s="154">
        <f t="shared" si="110"/>
        <v>0</v>
      </c>
      <c r="AA214" s="156">
        <f t="shared" si="111"/>
        <v>0</v>
      </c>
      <c r="AB214" s="795">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796">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069">
        <f t="shared" si="121"/>
        <v>0</v>
      </c>
      <c r="AE214" s="784">
        <f t="shared" si="118"/>
        <v>0</v>
      </c>
      <c r="AF214" s="784">
        <f t="shared" si="119"/>
        <v>0</v>
      </c>
      <c r="AG214" s="784">
        <f t="shared" si="120"/>
        <v>0</v>
      </c>
      <c r="AH214" s="1015">
        <f t="shared" si="116"/>
        <v>0</v>
      </c>
      <c r="AI214" s="784">
        <f t="shared" si="117"/>
        <v>0</v>
      </c>
      <c r="AJ214" s="99"/>
      <c r="AK214" s="99"/>
      <c r="AL214" s="99"/>
      <c r="AM214" s="99"/>
    </row>
    <row r="215" spans="1:39" x14ac:dyDescent="0.2">
      <c r="A215" s="202">
        <v>2042</v>
      </c>
      <c r="B215" s="216">
        <v>0</v>
      </c>
      <c r="C215" s="217">
        <v>0</v>
      </c>
      <c r="D215" s="217">
        <v>0</v>
      </c>
      <c r="E215" s="217">
        <v>0</v>
      </c>
      <c r="F215" s="217">
        <v>0</v>
      </c>
      <c r="G215" s="217">
        <v>0</v>
      </c>
      <c r="H215" s="217">
        <v>0</v>
      </c>
      <c r="I215" s="217">
        <v>0</v>
      </c>
      <c r="J215" s="217">
        <v>0</v>
      </c>
      <c r="K215" s="217">
        <v>0</v>
      </c>
      <c r="L215" s="252">
        <v>0</v>
      </c>
      <c r="M215" s="168">
        <f t="shared" si="108"/>
        <v>0</v>
      </c>
      <c r="N215" s="170">
        <f t="shared" si="109"/>
        <v>0</v>
      </c>
      <c r="O215" s="216">
        <v>0</v>
      </c>
      <c r="P215" s="217">
        <v>0</v>
      </c>
      <c r="Q215" s="217">
        <v>0</v>
      </c>
      <c r="R215" s="217">
        <v>0</v>
      </c>
      <c r="S215" s="217">
        <v>0</v>
      </c>
      <c r="T215" s="217">
        <v>0</v>
      </c>
      <c r="U215" s="217">
        <v>0</v>
      </c>
      <c r="V215" s="217">
        <v>0</v>
      </c>
      <c r="W215" s="217">
        <v>0</v>
      </c>
      <c r="X215" s="217">
        <v>0</v>
      </c>
      <c r="Y215" s="252">
        <v>0</v>
      </c>
      <c r="Z215" s="168">
        <f t="shared" si="110"/>
        <v>0</v>
      </c>
      <c r="AA215" s="170">
        <f t="shared" si="111"/>
        <v>0</v>
      </c>
      <c r="AB215" s="795">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796">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069">
        <f t="shared" si="121"/>
        <v>0</v>
      </c>
      <c r="AE215" s="784">
        <f t="shared" si="118"/>
        <v>0</v>
      </c>
      <c r="AF215" s="784">
        <f t="shared" si="119"/>
        <v>0</v>
      </c>
      <c r="AG215" s="784">
        <f t="shared" si="120"/>
        <v>0</v>
      </c>
      <c r="AH215" s="1015">
        <f t="shared" si="116"/>
        <v>0</v>
      </c>
      <c r="AI215" s="784">
        <f t="shared" si="117"/>
        <v>0</v>
      </c>
      <c r="AJ215" s="99"/>
      <c r="AK215" s="99"/>
      <c r="AL215" s="99"/>
      <c r="AM215" s="99"/>
    </row>
    <row r="216" spans="1:39" x14ac:dyDescent="0.2">
      <c r="A216" s="202">
        <v>2043</v>
      </c>
      <c r="B216" s="216">
        <v>0</v>
      </c>
      <c r="C216" s="217">
        <v>0</v>
      </c>
      <c r="D216" s="217">
        <v>0</v>
      </c>
      <c r="E216" s="217">
        <v>0</v>
      </c>
      <c r="F216" s="217">
        <v>0</v>
      </c>
      <c r="G216" s="217">
        <v>0</v>
      </c>
      <c r="H216" s="217">
        <v>0</v>
      </c>
      <c r="I216" s="217">
        <v>0</v>
      </c>
      <c r="J216" s="217">
        <v>0</v>
      </c>
      <c r="K216" s="217">
        <v>0</v>
      </c>
      <c r="L216" s="252">
        <v>0</v>
      </c>
      <c r="M216" s="168">
        <f t="shared" si="108"/>
        <v>0</v>
      </c>
      <c r="N216" s="170">
        <f t="shared" si="109"/>
        <v>0</v>
      </c>
      <c r="O216" s="216">
        <v>0</v>
      </c>
      <c r="P216" s="217">
        <v>0</v>
      </c>
      <c r="Q216" s="217">
        <v>0</v>
      </c>
      <c r="R216" s="217">
        <v>0</v>
      </c>
      <c r="S216" s="217">
        <v>0</v>
      </c>
      <c r="T216" s="217">
        <v>0</v>
      </c>
      <c r="U216" s="217">
        <v>0</v>
      </c>
      <c r="V216" s="217">
        <v>0</v>
      </c>
      <c r="W216" s="217">
        <v>0</v>
      </c>
      <c r="X216" s="217">
        <v>0</v>
      </c>
      <c r="Y216" s="252">
        <v>0</v>
      </c>
      <c r="Z216" s="168">
        <f t="shared" si="110"/>
        <v>0</v>
      </c>
      <c r="AA216" s="170">
        <f t="shared" si="111"/>
        <v>0</v>
      </c>
      <c r="AB216" s="795">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796">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069">
        <f t="shared" si="121"/>
        <v>0</v>
      </c>
      <c r="AE216" s="784">
        <f t="shared" si="118"/>
        <v>0</v>
      </c>
      <c r="AF216" s="784">
        <f t="shared" si="119"/>
        <v>0</v>
      </c>
      <c r="AG216" s="784">
        <f t="shared" si="120"/>
        <v>0</v>
      </c>
      <c r="AH216" s="1015">
        <f t="shared" si="116"/>
        <v>0</v>
      </c>
      <c r="AI216" s="784">
        <f t="shared" si="117"/>
        <v>0</v>
      </c>
      <c r="AJ216" s="99"/>
      <c r="AK216" s="99"/>
      <c r="AL216" s="99"/>
      <c r="AM216" s="99"/>
    </row>
    <row r="217" spans="1:39" x14ac:dyDescent="0.2">
      <c r="A217" s="202">
        <v>2044</v>
      </c>
      <c r="B217" s="216">
        <v>0</v>
      </c>
      <c r="C217" s="217">
        <v>0</v>
      </c>
      <c r="D217" s="217">
        <v>0</v>
      </c>
      <c r="E217" s="217">
        <v>0</v>
      </c>
      <c r="F217" s="217">
        <v>0</v>
      </c>
      <c r="G217" s="217">
        <v>0</v>
      </c>
      <c r="H217" s="217">
        <v>0</v>
      </c>
      <c r="I217" s="217">
        <v>0</v>
      </c>
      <c r="J217" s="217">
        <v>0</v>
      </c>
      <c r="K217" s="217">
        <v>0</v>
      </c>
      <c r="L217" s="252">
        <v>0</v>
      </c>
      <c r="M217" s="168">
        <f t="shared" si="108"/>
        <v>0</v>
      </c>
      <c r="N217" s="170">
        <f t="shared" si="109"/>
        <v>0</v>
      </c>
      <c r="O217" s="216">
        <v>0</v>
      </c>
      <c r="P217" s="217">
        <v>0</v>
      </c>
      <c r="Q217" s="217">
        <v>0</v>
      </c>
      <c r="R217" s="217">
        <v>0</v>
      </c>
      <c r="S217" s="217">
        <v>0</v>
      </c>
      <c r="T217" s="217">
        <v>0</v>
      </c>
      <c r="U217" s="217">
        <v>0</v>
      </c>
      <c r="V217" s="217">
        <v>0</v>
      </c>
      <c r="W217" s="217">
        <v>0</v>
      </c>
      <c r="X217" s="217">
        <v>0</v>
      </c>
      <c r="Y217" s="252">
        <v>0</v>
      </c>
      <c r="Z217" s="168">
        <f t="shared" si="110"/>
        <v>0</v>
      </c>
      <c r="AA217" s="170">
        <f t="shared" si="111"/>
        <v>0</v>
      </c>
      <c r="AB217" s="795">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796">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069">
        <f t="shared" si="121"/>
        <v>0</v>
      </c>
      <c r="AE217" s="784">
        <f t="shared" si="118"/>
        <v>0</v>
      </c>
      <c r="AF217" s="784">
        <f t="shared" si="119"/>
        <v>0</v>
      </c>
      <c r="AG217" s="784">
        <f t="shared" si="120"/>
        <v>0</v>
      </c>
      <c r="AH217" s="1015">
        <f t="shared" si="116"/>
        <v>0</v>
      </c>
      <c r="AI217" s="784">
        <f t="shared" si="117"/>
        <v>0</v>
      </c>
      <c r="AJ217" s="99"/>
      <c r="AK217" s="99"/>
      <c r="AL217" s="99"/>
      <c r="AM217" s="99"/>
    </row>
    <row r="218" spans="1:39" ht="13.5" thickBot="1" x14ac:dyDescent="0.25">
      <c r="A218" s="200">
        <v>2045</v>
      </c>
      <c r="B218" s="218">
        <v>0</v>
      </c>
      <c r="C218" s="219">
        <v>0</v>
      </c>
      <c r="D218" s="219">
        <v>0</v>
      </c>
      <c r="E218" s="219">
        <v>0</v>
      </c>
      <c r="F218" s="219">
        <v>0</v>
      </c>
      <c r="G218" s="219">
        <v>9.8074782830553302E-4</v>
      </c>
      <c r="H218" s="219">
        <v>4.0449034774329169E-3</v>
      </c>
      <c r="I218" s="219">
        <v>0</v>
      </c>
      <c r="J218" s="219">
        <v>0</v>
      </c>
      <c r="K218" s="219">
        <v>0</v>
      </c>
      <c r="L218" s="253">
        <v>0</v>
      </c>
      <c r="M218" s="182">
        <f t="shared" si="108"/>
        <v>3.361341172701281E-4</v>
      </c>
      <c r="N218" s="184">
        <f t="shared" si="109"/>
        <v>3.0666230897988966E-4</v>
      </c>
      <c r="O218" s="218">
        <v>0</v>
      </c>
      <c r="P218" s="219">
        <v>0</v>
      </c>
      <c r="Q218" s="219">
        <v>0</v>
      </c>
      <c r="R218" s="219">
        <v>0</v>
      </c>
      <c r="S218" s="219">
        <v>3.6974254733177566E-4</v>
      </c>
      <c r="T218" s="219">
        <v>3.4974332572813563E-3</v>
      </c>
      <c r="U218" s="219">
        <v>1.0393191533470686E-2</v>
      </c>
      <c r="V218" s="219">
        <v>0</v>
      </c>
      <c r="W218" s="219">
        <v>0</v>
      </c>
      <c r="X218" s="219">
        <v>0</v>
      </c>
      <c r="Y218" s="253">
        <v>0</v>
      </c>
      <c r="Z218" s="182">
        <f t="shared" si="110"/>
        <v>3.1426666824576782E-3</v>
      </c>
      <c r="AA218" s="184">
        <f t="shared" si="111"/>
        <v>2.9017921806667639E-3</v>
      </c>
      <c r="AB218" s="795">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796">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069">
        <f t="shared" si="121"/>
        <v>0</v>
      </c>
      <c r="AE218" s="784">
        <f t="shared" si="118"/>
        <v>3.361341172701281E-4</v>
      </c>
      <c r="AF218" s="784">
        <f t="shared" si="119"/>
        <v>3.1426666824576782E-3</v>
      </c>
      <c r="AG218" s="784">
        <f t="shared" si="120"/>
        <v>3.4788007997278063E-3</v>
      </c>
      <c r="AH218" s="1015">
        <f t="shared" si="116"/>
        <v>9.6623559847528045E-2</v>
      </c>
      <c r="AI218" s="784">
        <f t="shared" si="117"/>
        <v>0.90337644015247198</v>
      </c>
      <c r="AJ218" s="99"/>
      <c r="AK218" s="99"/>
      <c r="AL218" s="99"/>
      <c r="AM218" s="99"/>
    </row>
    <row r="219" spans="1:39" x14ac:dyDescent="0.2">
      <c r="A219" s="201">
        <v>2046</v>
      </c>
      <c r="B219" s="214">
        <v>0</v>
      </c>
      <c r="C219" s="215">
        <v>0</v>
      </c>
      <c r="D219" s="215">
        <v>0</v>
      </c>
      <c r="E219" s="215">
        <v>4.129545412859027E-4</v>
      </c>
      <c r="F219" s="215">
        <v>5.9703482332529026E-3</v>
      </c>
      <c r="G219" s="215">
        <v>2.3408118767659233E-2</v>
      </c>
      <c r="H219" s="215">
        <v>3.9270182869170181E-2</v>
      </c>
      <c r="I219" s="215">
        <v>0</v>
      </c>
      <c r="J219" s="215">
        <v>0</v>
      </c>
      <c r="K219" s="215">
        <v>0</v>
      </c>
      <c r="L219" s="251">
        <v>0</v>
      </c>
      <c r="M219" s="154">
        <f t="shared" si="108"/>
        <v>3.8568454393517093E-3</v>
      </c>
      <c r="N219" s="156">
        <f t="shared" si="109"/>
        <v>3.6391484966924567E-3</v>
      </c>
      <c r="O219" s="214">
        <v>0</v>
      </c>
      <c r="P219" s="215">
        <v>0</v>
      </c>
      <c r="Q219" s="215">
        <v>0</v>
      </c>
      <c r="R219" s="215">
        <v>1.47738488369619E-3</v>
      </c>
      <c r="S219" s="215">
        <v>1.3636154698742277E-2</v>
      </c>
      <c r="T219" s="215">
        <v>3.2421639005728378E-2</v>
      </c>
      <c r="U219" s="215">
        <v>5.1902793340880521E-2</v>
      </c>
      <c r="V219" s="215">
        <v>0</v>
      </c>
      <c r="W219" s="215">
        <v>0</v>
      </c>
      <c r="X219" s="215">
        <v>0</v>
      </c>
      <c r="Y219" s="251">
        <v>0</v>
      </c>
      <c r="Z219" s="154">
        <f t="shared" si="110"/>
        <v>1.9443172422483838E-2</v>
      </c>
      <c r="AA219" s="156">
        <f t="shared" si="111"/>
        <v>1.8567175792819517E-2</v>
      </c>
      <c r="AB219" s="795">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796">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069">
        <f t="shared" si="121"/>
        <v>0</v>
      </c>
      <c r="AE219" s="784">
        <f t="shared" si="118"/>
        <v>3.8568454393517093E-3</v>
      </c>
      <c r="AF219" s="784">
        <f t="shared" si="119"/>
        <v>1.9443172422483838E-2</v>
      </c>
      <c r="AG219" s="784">
        <f t="shared" si="120"/>
        <v>2.3300017861835547E-2</v>
      </c>
      <c r="AH219" s="1015">
        <f t="shared" si="116"/>
        <v>0.16552972028699861</v>
      </c>
      <c r="AI219" s="784">
        <f t="shared" si="117"/>
        <v>0.83447027971300136</v>
      </c>
      <c r="AJ219" s="99"/>
      <c r="AK219" s="99"/>
      <c r="AL219" s="99"/>
      <c r="AM219" s="99"/>
    </row>
    <row r="220" spans="1:39" x14ac:dyDescent="0.2">
      <c r="A220" s="202">
        <v>2047</v>
      </c>
      <c r="B220" s="216">
        <v>0</v>
      </c>
      <c r="C220" s="217">
        <v>0</v>
      </c>
      <c r="D220" s="217">
        <v>9.6282630345519241E-5</v>
      </c>
      <c r="E220" s="217">
        <v>9.1204666804042215E-3</v>
      </c>
      <c r="F220" s="217">
        <v>3.1944566551881971E-2</v>
      </c>
      <c r="G220" s="217">
        <v>6.0185732144335001E-2</v>
      </c>
      <c r="H220" s="217">
        <v>8.2585584002309892E-2</v>
      </c>
      <c r="I220" s="217">
        <v>0</v>
      </c>
      <c r="J220" s="217">
        <v>0</v>
      </c>
      <c r="K220" s="217">
        <v>0</v>
      </c>
      <c r="L220" s="252">
        <v>0</v>
      </c>
      <c r="M220" s="168">
        <f t="shared" si="108"/>
        <v>9.2415850897686336E-3</v>
      </c>
      <c r="N220" s="170">
        <f t="shared" si="109"/>
        <v>9.0558590053665834E-3</v>
      </c>
      <c r="O220" s="216">
        <v>0</v>
      </c>
      <c r="P220" s="217">
        <v>0</v>
      </c>
      <c r="Q220" s="217">
        <v>9.3177851652207822E-4</v>
      </c>
      <c r="R220" s="217">
        <v>1.5998021718363439E-2</v>
      </c>
      <c r="S220" s="217">
        <v>4.8580785295327528E-2</v>
      </c>
      <c r="T220" s="217">
        <v>7.7942471822616557E-2</v>
      </c>
      <c r="U220" s="217">
        <v>9.5465659116149876E-2</v>
      </c>
      <c r="V220" s="217">
        <v>0</v>
      </c>
      <c r="W220" s="217">
        <v>0</v>
      </c>
      <c r="X220" s="217">
        <v>0</v>
      </c>
      <c r="Y220" s="252">
        <v>0</v>
      </c>
      <c r="Z220" s="168">
        <f t="shared" si="110"/>
        <v>4.1536114493566784E-2</v>
      </c>
      <c r="AA220" s="170">
        <f t="shared" si="111"/>
        <v>4.0764570612234513E-2</v>
      </c>
      <c r="AB220" s="795">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796">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069">
        <f t="shared" si="121"/>
        <v>0</v>
      </c>
      <c r="AE220" s="784">
        <f t="shared" si="118"/>
        <v>9.2415850897686336E-3</v>
      </c>
      <c r="AF220" s="784">
        <f t="shared" si="119"/>
        <v>4.1536114493566784E-2</v>
      </c>
      <c r="AG220" s="784">
        <f t="shared" si="120"/>
        <v>5.0777699583335417E-2</v>
      </c>
      <c r="AH220" s="1015">
        <f t="shared" si="116"/>
        <v>0.18200086190595374</v>
      </c>
      <c r="AI220" s="784">
        <f t="shared" si="117"/>
        <v>0.81799913809404623</v>
      </c>
      <c r="AJ220" s="99"/>
      <c r="AK220" s="99"/>
      <c r="AL220" s="99"/>
      <c r="AM220" s="99"/>
    </row>
    <row r="221" spans="1:39" x14ac:dyDescent="0.2">
      <c r="A221" s="202">
        <v>2048</v>
      </c>
      <c r="B221" s="216">
        <v>0</v>
      </c>
      <c r="C221" s="217">
        <v>0</v>
      </c>
      <c r="D221" s="217">
        <v>1.6528382472574645E-3</v>
      </c>
      <c r="E221" s="217">
        <v>2.9285617375123984E-2</v>
      </c>
      <c r="F221" s="217">
        <v>6.6136963763034448E-2</v>
      </c>
      <c r="G221" s="217">
        <v>9.3553459255628343E-2</v>
      </c>
      <c r="H221" s="217">
        <v>0.1126991982992161</v>
      </c>
      <c r="I221" s="217">
        <v>0</v>
      </c>
      <c r="J221" s="217">
        <v>0</v>
      </c>
      <c r="K221" s="217">
        <v>0</v>
      </c>
      <c r="L221" s="252">
        <v>0</v>
      </c>
      <c r="M221" s="168">
        <f t="shared" si="108"/>
        <v>1.4037614366364668E-2</v>
      </c>
      <c r="N221" s="170">
        <f t="shared" si="109"/>
        <v>1.4188230642851712E-2</v>
      </c>
      <c r="O221" s="216">
        <v>0</v>
      </c>
      <c r="P221" s="217">
        <v>0</v>
      </c>
      <c r="Q221" s="217">
        <v>6.737700595648914E-3</v>
      </c>
      <c r="R221" s="217">
        <v>3.7535558165563733E-2</v>
      </c>
      <c r="S221" s="217">
        <v>7.8189880424460484E-2</v>
      </c>
      <c r="T221" s="217">
        <v>0.10779708352151481</v>
      </c>
      <c r="U221" s="217">
        <v>0.12084599002166094</v>
      </c>
      <c r="V221" s="217">
        <v>0</v>
      </c>
      <c r="W221" s="217">
        <v>0</v>
      </c>
      <c r="X221" s="217">
        <v>0</v>
      </c>
      <c r="Y221" s="252">
        <v>0</v>
      </c>
      <c r="Z221" s="168">
        <f t="shared" si="110"/>
        <v>5.6323697325337124E-2</v>
      </c>
      <c r="AA221" s="170">
        <f t="shared" si="111"/>
        <v>5.6163050605677757E-2</v>
      </c>
      <c r="AB221" s="795">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796">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069">
        <f t="shared" si="121"/>
        <v>0</v>
      </c>
      <c r="AE221" s="784">
        <f t="shared" si="118"/>
        <v>1.4037614366364668E-2</v>
      </c>
      <c r="AF221" s="784">
        <f t="shared" si="119"/>
        <v>5.6323697325337124E-2</v>
      </c>
      <c r="AG221" s="784">
        <f t="shared" si="120"/>
        <v>7.0361311691701789E-2</v>
      </c>
      <c r="AH221" s="1015">
        <f t="shared" si="116"/>
        <v>0.19950757069271954</v>
      </c>
      <c r="AI221" s="784">
        <f t="shared" si="117"/>
        <v>0.80049242930728048</v>
      </c>
      <c r="AJ221" s="99"/>
      <c r="AK221" s="99"/>
      <c r="AL221" s="99"/>
      <c r="AM221" s="99"/>
    </row>
    <row r="222" spans="1:39" x14ac:dyDescent="0.2">
      <c r="A222" s="202">
        <v>2049</v>
      </c>
      <c r="B222" s="216">
        <v>0</v>
      </c>
      <c r="C222" s="217">
        <v>0</v>
      </c>
      <c r="D222" s="217">
        <v>6.3366711262262459E-3</v>
      </c>
      <c r="E222" s="217">
        <v>4.6771176854452465E-2</v>
      </c>
      <c r="F222" s="217">
        <v>8.8577575105650105E-2</v>
      </c>
      <c r="G222" s="217">
        <v>0.11260577389800031</v>
      </c>
      <c r="H222" s="217">
        <v>0.13261202399972258</v>
      </c>
      <c r="I222" s="217">
        <v>0</v>
      </c>
      <c r="J222" s="217">
        <v>0</v>
      </c>
      <c r="K222" s="217">
        <v>0</v>
      </c>
      <c r="L222" s="252">
        <v>0</v>
      </c>
      <c r="M222" s="168">
        <f t="shared" si="108"/>
        <v>1.7217331597444655E-2</v>
      </c>
      <c r="N222" s="170">
        <f t="shared" si="109"/>
        <v>1.7651853502411136E-2</v>
      </c>
      <c r="O222" s="216">
        <v>0</v>
      </c>
      <c r="P222" s="217">
        <v>0</v>
      </c>
      <c r="Q222" s="217">
        <v>1.6485800946138444E-2</v>
      </c>
      <c r="R222" s="217">
        <v>5.9025076889117595E-2</v>
      </c>
      <c r="S222" s="217">
        <v>0.10148830617776666</v>
      </c>
      <c r="T222" s="217">
        <v>0.12693373639747493</v>
      </c>
      <c r="U222" s="217">
        <v>0.14021736422920897</v>
      </c>
      <c r="V222" s="217">
        <v>0</v>
      </c>
      <c r="W222" s="217">
        <v>0</v>
      </c>
      <c r="X222" s="217">
        <v>0</v>
      </c>
      <c r="Y222" s="252">
        <v>0</v>
      </c>
      <c r="Z222" s="168">
        <f t="shared" si="110"/>
        <v>6.7254904512231428E-2</v>
      </c>
      <c r="AA222" s="170">
        <f t="shared" si="111"/>
        <v>6.7740731293740516E-2</v>
      </c>
      <c r="AB222" s="795">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796">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069">
        <f t="shared" si="121"/>
        <v>0</v>
      </c>
      <c r="AE222" s="784">
        <f t="shared" si="118"/>
        <v>1.7217331597444655E-2</v>
      </c>
      <c r="AF222" s="784">
        <f t="shared" si="119"/>
        <v>6.7254904512231428E-2</v>
      </c>
      <c r="AG222" s="784">
        <f t="shared" si="120"/>
        <v>8.447223610967608E-2</v>
      </c>
      <c r="AH222" s="1015">
        <f t="shared" si="116"/>
        <v>0.20382237277453169</v>
      </c>
      <c r="AI222" s="784">
        <f t="shared" si="117"/>
        <v>0.79617762722546837</v>
      </c>
      <c r="AJ222" s="99"/>
      <c r="AK222" s="99"/>
      <c r="AL222" s="99"/>
      <c r="AM222" s="99"/>
    </row>
    <row r="223" spans="1:39" ht="13.5" thickBot="1" x14ac:dyDescent="0.25">
      <c r="A223" s="200">
        <v>2050</v>
      </c>
      <c r="B223" s="218">
        <v>0</v>
      </c>
      <c r="C223" s="219">
        <v>0</v>
      </c>
      <c r="D223" s="219">
        <v>2.4501613766896406E-2</v>
      </c>
      <c r="E223" s="219">
        <v>8.2309405131283292E-2</v>
      </c>
      <c r="F223" s="219">
        <v>0.12020876306683023</v>
      </c>
      <c r="G223" s="219">
        <v>0.14594777732434114</v>
      </c>
      <c r="H223" s="219">
        <v>0.15291675149047759</v>
      </c>
      <c r="I223" s="219">
        <v>0</v>
      </c>
      <c r="J223" s="219">
        <v>0</v>
      </c>
      <c r="K223" s="219">
        <v>0</v>
      </c>
      <c r="L223" s="253">
        <v>0</v>
      </c>
      <c r="M223" s="182">
        <f t="shared" si="108"/>
        <v>2.1543931686400557E-2</v>
      </c>
      <c r="N223" s="184">
        <f t="shared" si="109"/>
        <v>2.2624119463222403E-2</v>
      </c>
      <c r="O223" s="218">
        <v>0</v>
      </c>
      <c r="P223" s="219">
        <v>0</v>
      </c>
      <c r="Q223" s="219">
        <v>4.293576718652159E-2</v>
      </c>
      <c r="R223" s="219">
        <v>9.2126662795440781E-2</v>
      </c>
      <c r="S223" s="219">
        <v>0.1285634602711658</v>
      </c>
      <c r="T223" s="219">
        <v>0.14858715043665718</v>
      </c>
      <c r="U223" s="219">
        <v>0.16063463735654096</v>
      </c>
      <c r="V223" s="219">
        <v>0</v>
      </c>
      <c r="W223" s="219">
        <v>0</v>
      </c>
      <c r="X223" s="219">
        <v>0</v>
      </c>
      <c r="Y223" s="253">
        <v>0</v>
      </c>
      <c r="Z223" s="182">
        <f t="shared" si="110"/>
        <v>7.9832819113564463E-2</v>
      </c>
      <c r="AA223" s="184">
        <f t="shared" si="111"/>
        <v>8.1501139822487051E-2</v>
      </c>
      <c r="AB223" s="797">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798">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070">
        <f t="shared" si="121"/>
        <v>0</v>
      </c>
      <c r="AE223" s="784">
        <f t="shared" si="118"/>
        <v>2.1543931686400557E-2</v>
      </c>
      <c r="AF223" s="784">
        <f t="shared" si="119"/>
        <v>7.9832819113564463E-2</v>
      </c>
      <c r="AG223" s="784">
        <f t="shared" si="120"/>
        <v>0.10137675079996503</v>
      </c>
      <c r="AH223" s="1015">
        <f t="shared" si="116"/>
        <v>0.21251353506989681</v>
      </c>
      <c r="AI223" s="784">
        <f t="shared" si="117"/>
        <v>0.7874864649301031</v>
      </c>
      <c r="AJ223" s="99"/>
      <c r="AK223" s="99"/>
      <c r="AL223" s="99"/>
      <c r="AM223" s="99"/>
    </row>
    <row r="224" spans="1:39" x14ac:dyDescent="0.2">
      <c r="B224" s="99" t="str">
        <f>B$120</f>
        <v>Output generated: 11/04/2020 14:47</v>
      </c>
      <c r="U224" s="99" t="str">
        <f>U$120</f>
        <v>Output generated: 11/04/2020 14:47</v>
      </c>
      <c r="AC224" s="784"/>
      <c r="AE224" s="784"/>
      <c r="AF224" s="784"/>
      <c r="AG224" s="784"/>
      <c r="AH224" s="784"/>
      <c r="AI224" s="784"/>
      <c r="AJ224" s="99"/>
      <c r="AK224" s="99"/>
      <c r="AL224" s="99"/>
      <c r="AM224" s="99"/>
    </row>
    <row r="225" spans="1:39" x14ac:dyDescent="0.2">
      <c r="AE225" s="784"/>
      <c r="AF225" s="784"/>
      <c r="AG225" s="784"/>
      <c r="AH225" s="784"/>
      <c r="AI225" s="784"/>
    </row>
    <row r="226" spans="1:39" ht="13.5" thickBot="1" x14ac:dyDescent="0.25">
      <c r="AE226" s="784"/>
      <c r="AF226" s="784"/>
      <c r="AG226" s="784"/>
      <c r="AH226" s="784"/>
      <c r="AI226" s="784"/>
    </row>
    <row r="227" spans="1:39" ht="15" x14ac:dyDescent="0.25">
      <c r="A227" s="205"/>
      <c r="B227" s="460" t="s">
        <v>213</v>
      </c>
      <c r="C227" s="461"/>
      <c r="D227" s="461"/>
      <c r="E227" s="461"/>
      <c r="F227" s="461"/>
      <c r="G227" s="461"/>
      <c r="H227" s="461"/>
      <c r="I227" s="461"/>
      <c r="J227" s="461"/>
      <c r="K227" s="461"/>
      <c r="L227" s="461"/>
      <c r="M227" s="461"/>
      <c r="N227" s="462"/>
      <c r="O227" s="460" t="s">
        <v>212</v>
      </c>
      <c r="P227" s="461"/>
      <c r="Q227" s="461"/>
      <c r="R227" s="461"/>
      <c r="S227" s="461"/>
      <c r="T227" s="461"/>
      <c r="U227" s="461"/>
      <c r="V227" s="461"/>
      <c r="W227" s="461"/>
      <c r="X227" s="461"/>
      <c r="Y227" s="461"/>
      <c r="Z227" s="461"/>
      <c r="AA227" s="462"/>
      <c r="AE227" s="784"/>
      <c r="AF227" s="784"/>
      <c r="AG227" s="784"/>
      <c r="AH227" s="784"/>
      <c r="AI227" s="784"/>
    </row>
    <row r="228" spans="1:39" x14ac:dyDescent="0.2">
      <c r="A228" s="196"/>
      <c r="B228" s="463" t="s">
        <v>121</v>
      </c>
      <c r="C228" s="464"/>
      <c r="D228" s="464"/>
      <c r="E228" s="464"/>
      <c r="F228" s="464"/>
      <c r="G228" s="464"/>
      <c r="H228" s="464"/>
      <c r="I228" s="464"/>
      <c r="J228" s="464"/>
      <c r="K228" s="464"/>
      <c r="L228" s="464"/>
      <c r="M228" s="254"/>
      <c r="N228" s="197"/>
      <c r="O228" s="463" t="s">
        <v>121</v>
      </c>
      <c r="P228" s="464"/>
      <c r="Q228" s="464"/>
      <c r="R228" s="464"/>
      <c r="S228" s="464"/>
      <c r="T228" s="464"/>
      <c r="U228" s="464"/>
      <c r="V228" s="464"/>
      <c r="W228" s="464"/>
      <c r="X228" s="464"/>
      <c r="Y228" s="464"/>
      <c r="Z228" s="254"/>
      <c r="AA228" s="197"/>
      <c r="AE228" s="784"/>
      <c r="AF228" s="784"/>
      <c r="AG228" s="784"/>
      <c r="AH228" s="784"/>
      <c r="AI228" s="784"/>
    </row>
    <row r="229" spans="1:39" ht="13.5" thickBot="1" x14ac:dyDescent="0.25">
      <c r="A229" s="203"/>
      <c r="B229" s="210" t="s">
        <v>28</v>
      </c>
      <c r="C229" s="211" t="s">
        <v>29</v>
      </c>
      <c r="D229" s="211" t="s">
        <v>30</v>
      </c>
      <c r="E229" s="211" t="s">
        <v>31</v>
      </c>
      <c r="F229" s="211" t="s">
        <v>32</v>
      </c>
      <c r="G229" s="211" t="s">
        <v>33</v>
      </c>
      <c r="H229" s="211" t="s">
        <v>34</v>
      </c>
      <c r="I229" s="211" t="s">
        <v>35</v>
      </c>
      <c r="J229" s="211" t="s">
        <v>36</v>
      </c>
      <c r="K229" s="211" t="s">
        <v>37</v>
      </c>
      <c r="L229" s="249" t="s">
        <v>38</v>
      </c>
      <c r="M229" s="255" t="s">
        <v>122</v>
      </c>
      <c r="N229" s="204" t="s">
        <v>123</v>
      </c>
      <c r="O229" s="210" t="s">
        <v>28</v>
      </c>
      <c r="P229" s="211" t="s">
        <v>29</v>
      </c>
      <c r="Q229" s="211" t="s">
        <v>30</v>
      </c>
      <c r="R229" s="211" t="s">
        <v>31</v>
      </c>
      <c r="S229" s="211" t="s">
        <v>32</v>
      </c>
      <c r="T229" s="211" t="s">
        <v>33</v>
      </c>
      <c r="U229" s="211" t="s">
        <v>34</v>
      </c>
      <c r="V229" s="211" t="s">
        <v>35</v>
      </c>
      <c r="W229" s="211" t="s">
        <v>36</v>
      </c>
      <c r="X229" s="211" t="s">
        <v>37</v>
      </c>
      <c r="Y229" s="249" t="s">
        <v>38</v>
      </c>
      <c r="Z229" s="255" t="s">
        <v>122</v>
      </c>
      <c r="AA229" s="204" t="s">
        <v>123</v>
      </c>
      <c r="AC229" s="750" t="s">
        <v>267</v>
      </c>
      <c r="AD229" s="106" t="b">
        <f>INDEX(TECH_OPT_FUEL2_Cls1,MATCH(RIGHT(O227),TECH_OPT_ROWS_Cls1,0))&lt;&gt;"N/A"</f>
        <v>0</v>
      </c>
      <c r="AE229" s="784"/>
      <c r="AF229" s="784"/>
      <c r="AG229" s="784"/>
      <c r="AH229" s="784"/>
      <c r="AI229" s="784"/>
    </row>
    <row r="230" spans="1:39" ht="14.25" thickTop="1" thickBot="1" x14ac:dyDescent="0.25">
      <c r="A230" s="220" t="s">
        <v>124</v>
      </c>
      <c r="B230" s="212">
        <f t="array" ref="B230:L230">TRANSPOSE(Cls1CentTruckShr)</f>
        <v>7.9460669190030697E-3</v>
      </c>
      <c r="C230" s="213">
        <v>4.9615201402207001E-3</v>
      </c>
      <c r="D230" s="213">
        <v>9.2815995818941767E-3</v>
      </c>
      <c r="E230" s="213">
        <v>3.0833513121077051E-2</v>
      </c>
      <c r="F230" s="213">
        <v>4.3269302277925595E-2</v>
      </c>
      <c r="G230" s="213">
        <v>2.8144935330937017E-2</v>
      </c>
      <c r="H230" s="213">
        <v>6.8990329765143715E-2</v>
      </c>
      <c r="I230" s="213">
        <v>2.4926184998997059E-2</v>
      </c>
      <c r="J230" s="213">
        <v>7.8890239376675012E-3</v>
      </c>
      <c r="K230" s="213">
        <v>3.6046105934191604E-3</v>
      </c>
      <c r="L230" s="250">
        <v>7.5162351043371062E-3</v>
      </c>
      <c r="M230" s="257"/>
      <c r="N230" s="206"/>
      <c r="O230" s="212">
        <f t="array" ref="O230:Y230">TRANSPOSE(Cls1NCentTruckShr)</f>
        <v>1.2963682068270432E-2</v>
      </c>
      <c r="P230" s="213">
        <v>2.3837141813212878E-2</v>
      </c>
      <c r="Q230" s="213">
        <v>2.5768680683356839E-2</v>
      </c>
      <c r="R230" s="213">
        <v>5.7965433078982248E-2</v>
      </c>
      <c r="S230" s="213">
        <v>0.10312619102844889</v>
      </c>
      <c r="T230" s="213">
        <v>0.18550667796975542</v>
      </c>
      <c r="U230" s="213">
        <v>0.21310728355070049</v>
      </c>
      <c r="V230" s="213">
        <v>7.3364250696428643E-2</v>
      </c>
      <c r="W230" s="213">
        <v>1.9856733825595378E-2</v>
      </c>
      <c r="X230" s="213">
        <v>2.1261216059795113E-2</v>
      </c>
      <c r="Y230" s="250">
        <v>2.5879387454831333E-2</v>
      </c>
      <c r="Z230" s="257"/>
      <c r="AA230" s="206"/>
      <c r="AB230" s="783"/>
      <c r="AC230" s="750" t="s">
        <v>268</v>
      </c>
      <c r="AD230" s="106">
        <f>MATCH(RIGHT(O227),TECH_OPT_ROWS_Cls1,0)</f>
        <v>5</v>
      </c>
      <c r="AE230" s="784"/>
      <c r="AF230" s="784"/>
      <c r="AG230" s="784"/>
      <c r="AH230" s="784"/>
      <c r="AI230" s="784"/>
    </row>
    <row r="231" spans="1:39" x14ac:dyDescent="0.2">
      <c r="A231" s="203" t="s">
        <v>125</v>
      </c>
      <c r="B231" s="785">
        <f t="array" ref="B231:L231">TRANSPOSE(Cls1CentVMTShr)</f>
        <v>8.9762242961142352E-4</v>
      </c>
      <c r="C231" s="786">
        <v>1.2044238150123706E-3</v>
      </c>
      <c r="D231" s="786">
        <v>4.1499109643594731E-3</v>
      </c>
      <c r="E231" s="786">
        <v>1.9575808105519295E-2</v>
      </c>
      <c r="F231" s="786">
        <v>3.4523467949689302E-2</v>
      </c>
      <c r="G231" s="786">
        <v>2.7311948935134379E-2</v>
      </c>
      <c r="H231" s="786">
        <v>7.6478458482655817E-2</v>
      </c>
      <c r="I231" s="786">
        <v>3.2480526319280681E-2</v>
      </c>
      <c r="J231" s="786">
        <v>1.1772940427842455E-2</v>
      </c>
      <c r="K231" s="786">
        <v>6.0339283082965706E-3</v>
      </c>
      <c r="L231" s="787">
        <v>1.5952440951210019E-2</v>
      </c>
      <c r="M231" s="260"/>
      <c r="N231" s="206"/>
      <c r="O231" s="785">
        <f t="array" ref="O231:Y231">TRANSPOSE(Cls1NCentVMTShr)</f>
        <v>1.3589913425833078E-3</v>
      </c>
      <c r="P231" s="786">
        <v>5.8692629772239642E-3</v>
      </c>
      <c r="Q231" s="786">
        <v>1.2100393581509007E-2</v>
      </c>
      <c r="R231" s="786">
        <v>3.6555003327388577E-2</v>
      </c>
      <c r="S231" s="786">
        <v>8.3148735051829181E-2</v>
      </c>
      <c r="T231" s="786">
        <v>0.18151138394047112</v>
      </c>
      <c r="U231" s="786">
        <v>0.2383386372324876</v>
      </c>
      <c r="V231" s="786">
        <v>9.5602564448196578E-2</v>
      </c>
      <c r="W231" s="786">
        <v>2.9193025028929166E-2</v>
      </c>
      <c r="X231" s="786">
        <v>3.5209492159336005E-2</v>
      </c>
      <c r="Y231" s="787">
        <v>5.0731034221433824E-2</v>
      </c>
      <c r="Z231" s="260"/>
      <c r="AA231" s="206"/>
      <c r="AB231" s="1552" t="str">
        <f>"% of miles on f2 for Tech "&amp; RIGHT(O227)&amp;" adopters"</f>
        <v>% of miles on f2 for Tech D adopters</v>
      </c>
      <c r="AC231" s="1553"/>
      <c r="AD231" s="1554"/>
      <c r="AE231" s="784" t="s">
        <v>298</v>
      </c>
      <c r="AF231" s="784"/>
      <c r="AG231" s="784"/>
      <c r="AH231" s="1015" t="s">
        <v>307</v>
      </c>
      <c r="AI231" s="784"/>
    </row>
    <row r="232" spans="1:39" ht="13.5" thickBot="1" x14ac:dyDescent="0.25">
      <c r="A232" s="789" t="s">
        <v>266</v>
      </c>
      <c r="B232" s="780">
        <f t="array" ref="B232:L232">TRANSPOSE(Cls1CentVMT/OPDAYS_Cls1)</f>
        <v>51.642967609234425</v>
      </c>
      <c r="C232" s="781">
        <v>110.97733417848234</v>
      </c>
      <c r="D232" s="781">
        <v>204.40224583551472</v>
      </c>
      <c r="E232" s="781">
        <v>290.24610572847212</v>
      </c>
      <c r="F232" s="781">
        <v>364.75750419264841</v>
      </c>
      <c r="G232" s="781">
        <v>443.63126889109378</v>
      </c>
      <c r="H232" s="781">
        <v>506.78134229373978</v>
      </c>
      <c r="I232" s="781">
        <v>595.71283413609137</v>
      </c>
      <c r="J232" s="781">
        <v>682.23089916089702</v>
      </c>
      <c r="K232" s="781">
        <v>765.26438827532684</v>
      </c>
      <c r="L232" s="782">
        <v>970.27871027310334</v>
      </c>
      <c r="M232" s="778"/>
      <c r="N232" s="779"/>
      <c r="O232" s="780">
        <f t="array" ref="O232:Y232">TRANSPOSE(Cls1NCentVMT/OPDAYS_Cls1)</f>
        <v>47.924548633512046</v>
      </c>
      <c r="P232" s="781">
        <v>112.56389213862748</v>
      </c>
      <c r="Q232" s="781">
        <v>214.67280220238027</v>
      </c>
      <c r="R232" s="781">
        <v>288.30186744262801</v>
      </c>
      <c r="S232" s="781">
        <v>368.60089210549245</v>
      </c>
      <c r="T232" s="781">
        <v>447.31558789932524</v>
      </c>
      <c r="U232" s="781">
        <v>511.28831950097862</v>
      </c>
      <c r="V232" s="781">
        <v>595.73726658362273</v>
      </c>
      <c r="W232" s="781">
        <v>672.11099195240695</v>
      </c>
      <c r="X232" s="781">
        <v>757.0793017898726</v>
      </c>
      <c r="Y232" s="782">
        <v>896.16800791754974</v>
      </c>
      <c r="Z232" s="790"/>
      <c r="AA232" s="779"/>
      <c r="AB232" s="792" t="s">
        <v>186</v>
      </c>
      <c r="AC232" s="793" t="s">
        <v>15</v>
      </c>
      <c r="AD232" s="794" t="s">
        <v>18</v>
      </c>
      <c r="AE232" s="784" t="s">
        <v>186</v>
      </c>
      <c r="AF232" s="784" t="s">
        <v>15</v>
      </c>
      <c r="AG232" s="784" t="s">
        <v>18</v>
      </c>
      <c r="AH232" s="1015" t="s">
        <v>186</v>
      </c>
      <c r="AI232" s="784" t="s">
        <v>15</v>
      </c>
    </row>
    <row r="233" spans="1:39" ht="13.5" thickTop="1" x14ac:dyDescent="0.2">
      <c r="A233" s="788">
        <v>2007</v>
      </c>
      <c r="B233" s="214">
        <v>0</v>
      </c>
      <c r="C233" s="215">
        <v>0</v>
      </c>
      <c r="D233" s="215">
        <v>0</v>
      </c>
      <c r="E233" s="215">
        <v>0</v>
      </c>
      <c r="F233" s="215">
        <v>0</v>
      </c>
      <c r="G233" s="215">
        <v>0</v>
      </c>
      <c r="H233" s="215">
        <v>0</v>
      </c>
      <c r="I233" s="215">
        <v>0</v>
      </c>
      <c r="J233" s="215">
        <v>0</v>
      </c>
      <c r="K233" s="215">
        <v>0</v>
      </c>
      <c r="L233" s="251">
        <v>0</v>
      </c>
      <c r="M233" s="154">
        <f t="shared" ref="M233:M276" si="122">SUMPRODUCT($B$178:$L$178,$B233:$L233)</f>
        <v>0</v>
      </c>
      <c r="N233" s="156">
        <f t="shared" ref="N233:N276" si="123">SUMPRODUCT($B$177:$L$177,$B233:$L233)</f>
        <v>0</v>
      </c>
      <c r="O233" s="214">
        <v>0</v>
      </c>
      <c r="P233" s="215">
        <v>0</v>
      </c>
      <c r="Q233" s="215">
        <v>0</v>
      </c>
      <c r="R233" s="215">
        <v>0</v>
      </c>
      <c r="S233" s="215">
        <v>0</v>
      </c>
      <c r="T233" s="215">
        <v>0</v>
      </c>
      <c r="U233" s="215">
        <v>0</v>
      </c>
      <c r="V233" s="215">
        <v>0</v>
      </c>
      <c r="W233" s="215">
        <v>0</v>
      </c>
      <c r="X233" s="215">
        <v>0</v>
      </c>
      <c r="Y233" s="251">
        <v>0</v>
      </c>
      <c r="Z233" s="154">
        <f t="shared" ref="Z233:Z276" si="124">SUMPRODUCT($O$178:$Y$178,$O233:$Y233)</f>
        <v>0</v>
      </c>
      <c r="AA233" s="156">
        <f t="shared" ref="AA233:AA276" si="125">SUMPRODUCT($O$177:$Y$177,$O233:$Y233)</f>
        <v>0</v>
      </c>
      <c r="AB233" s="795">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796">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069">
        <f t="shared" ref="AD233:AD258" si="126">AB233*AH233+AC233*AI233</f>
        <v>0</v>
      </c>
      <c r="AE233" s="784">
        <f t="shared" ref="AE233:AE247" si="127">SUMPRODUCT($B$74:$L$74,B233:L233)</f>
        <v>0</v>
      </c>
      <c r="AF233" s="784">
        <f t="shared" ref="AF233:AF247" si="128">SUMPRODUCT($O$74:$Y$74,O233:Y233)</f>
        <v>0</v>
      </c>
      <c r="AG233" s="784">
        <f t="shared" ref="AG233:AG247" si="129">SUM(AE233:AF233)</f>
        <v>0</v>
      </c>
      <c r="AH233" s="1015">
        <f>IF(AG233&gt;0,AE233/AG233,0)</f>
        <v>0</v>
      </c>
      <c r="AI233" s="784">
        <f>IF(AG233&gt;0,AF233/AG233,0)</f>
        <v>0</v>
      </c>
      <c r="AJ233" s="99"/>
      <c r="AK233" s="99"/>
      <c r="AL233" s="99"/>
      <c r="AM233" s="99"/>
    </row>
    <row r="234" spans="1:39" x14ac:dyDescent="0.2">
      <c r="A234" s="199">
        <v>2008</v>
      </c>
      <c r="B234" s="216">
        <v>0</v>
      </c>
      <c r="C234" s="217">
        <v>0</v>
      </c>
      <c r="D234" s="217">
        <v>0</v>
      </c>
      <c r="E234" s="217">
        <v>0</v>
      </c>
      <c r="F234" s="217">
        <v>0</v>
      </c>
      <c r="G234" s="217">
        <v>0</v>
      </c>
      <c r="H234" s="217">
        <v>0</v>
      </c>
      <c r="I234" s="217">
        <v>0</v>
      </c>
      <c r="J234" s="217">
        <v>0</v>
      </c>
      <c r="K234" s="217">
        <v>0</v>
      </c>
      <c r="L234" s="252">
        <v>0</v>
      </c>
      <c r="M234" s="168">
        <f t="shared" si="122"/>
        <v>0</v>
      </c>
      <c r="N234" s="170">
        <f t="shared" si="123"/>
        <v>0</v>
      </c>
      <c r="O234" s="216">
        <v>0</v>
      </c>
      <c r="P234" s="217">
        <v>0</v>
      </c>
      <c r="Q234" s="217">
        <v>0</v>
      </c>
      <c r="R234" s="217">
        <v>0</v>
      </c>
      <c r="S234" s="217">
        <v>0</v>
      </c>
      <c r="T234" s="217">
        <v>0</v>
      </c>
      <c r="U234" s="217">
        <v>0</v>
      </c>
      <c r="V234" s="217">
        <v>0</v>
      </c>
      <c r="W234" s="217">
        <v>0</v>
      </c>
      <c r="X234" s="217">
        <v>0</v>
      </c>
      <c r="Y234" s="252">
        <v>0</v>
      </c>
      <c r="Z234" s="168">
        <f t="shared" si="124"/>
        <v>0</v>
      </c>
      <c r="AA234" s="170">
        <f t="shared" si="125"/>
        <v>0</v>
      </c>
      <c r="AB234" s="795">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796">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069">
        <f t="shared" si="126"/>
        <v>0</v>
      </c>
      <c r="AE234" s="784">
        <f t="shared" si="127"/>
        <v>0</v>
      </c>
      <c r="AF234" s="784">
        <f t="shared" si="128"/>
        <v>0</v>
      </c>
      <c r="AG234" s="784">
        <f t="shared" si="129"/>
        <v>0</v>
      </c>
      <c r="AH234" s="1015">
        <f t="shared" ref="AH234:AH276" si="130">IF(AG234&gt;0,AE234/AG234,0)</f>
        <v>0</v>
      </c>
      <c r="AI234" s="784">
        <f t="shared" ref="AI234:AI276" si="131">IF(AG234&gt;0,AF234/AG234,0)</f>
        <v>0</v>
      </c>
    </row>
    <row r="235" spans="1:39" x14ac:dyDescent="0.2">
      <c r="A235" s="199">
        <v>2009</v>
      </c>
      <c r="B235" s="216">
        <v>0</v>
      </c>
      <c r="C235" s="217">
        <v>0</v>
      </c>
      <c r="D235" s="217">
        <v>0</v>
      </c>
      <c r="E235" s="217">
        <v>0</v>
      </c>
      <c r="F235" s="217">
        <v>0</v>
      </c>
      <c r="G235" s="217">
        <v>0</v>
      </c>
      <c r="H235" s="217">
        <v>0</v>
      </c>
      <c r="I235" s="217">
        <v>0</v>
      </c>
      <c r="J235" s="217">
        <v>0</v>
      </c>
      <c r="K235" s="217">
        <v>0</v>
      </c>
      <c r="L235" s="252">
        <v>0</v>
      </c>
      <c r="M235" s="168">
        <f t="shared" si="122"/>
        <v>0</v>
      </c>
      <c r="N235" s="170">
        <f t="shared" si="123"/>
        <v>0</v>
      </c>
      <c r="O235" s="216">
        <v>0</v>
      </c>
      <c r="P235" s="217">
        <v>0</v>
      </c>
      <c r="Q235" s="217">
        <v>0</v>
      </c>
      <c r="R235" s="217">
        <v>0</v>
      </c>
      <c r="S235" s="217">
        <v>0</v>
      </c>
      <c r="T235" s="217">
        <v>0</v>
      </c>
      <c r="U235" s="217">
        <v>0</v>
      </c>
      <c r="V235" s="217">
        <v>0</v>
      </c>
      <c r="W235" s="217">
        <v>0</v>
      </c>
      <c r="X235" s="217">
        <v>0</v>
      </c>
      <c r="Y235" s="252">
        <v>0</v>
      </c>
      <c r="Z235" s="168">
        <f t="shared" si="124"/>
        <v>0</v>
      </c>
      <c r="AA235" s="170">
        <f t="shared" si="125"/>
        <v>0</v>
      </c>
      <c r="AB235" s="795">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796">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069">
        <f t="shared" si="126"/>
        <v>0</v>
      </c>
      <c r="AE235" s="784">
        <f t="shared" si="127"/>
        <v>0</v>
      </c>
      <c r="AF235" s="784">
        <f t="shared" si="128"/>
        <v>0</v>
      </c>
      <c r="AG235" s="784">
        <f t="shared" si="129"/>
        <v>0</v>
      </c>
      <c r="AH235" s="1015">
        <f t="shared" si="130"/>
        <v>0</v>
      </c>
      <c r="AI235" s="784">
        <f t="shared" si="131"/>
        <v>0</v>
      </c>
    </row>
    <row r="236" spans="1:39" ht="13.5" thickBot="1" x14ac:dyDescent="0.25">
      <c r="A236" s="200">
        <v>2010</v>
      </c>
      <c r="B236" s="218">
        <v>0</v>
      </c>
      <c r="C236" s="219">
        <v>0</v>
      </c>
      <c r="D236" s="219">
        <v>0</v>
      </c>
      <c r="E236" s="219">
        <v>0</v>
      </c>
      <c r="F236" s="219">
        <v>0</v>
      </c>
      <c r="G236" s="219">
        <v>0</v>
      </c>
      <c r="H236" s="219">
        <v>0</v>
      </c>
      <c r="I236" s="219">
        <v>0</v>
      </c>
      <c r="J236" s="219">
        <v>0</v>
      </c>
      <c r="K236" s="219">
        <v>0</v>
      </c>
      <c r="L236" s="253">
        <v>0</v>
      </c>
      <c r="M236" s="182">
        <f t="shared" si="122"/>
        <v>0</v>
      </c>
      <c r="N236" s="184">
        <f t="shared" si="123"/>
        <v>0</v>
      </c>
      <c r="O236" s="218">
        <v>0</v>
      </c>
      <c r="P236" s="219">
        <v>0</v>
      </c>
      <c r="Q236" s="219">
        <v>0</v>
      </c>
      <c r="R236" s="219">
        <v>0</v>
      </c>
      <c r="S236" s="219">
        <v>0</v>
      </c>
      <c r="T236" s="219">
        <v>0</v>
      </c>
      <c r="U236" s="219">
        <v>0</v>
      </c>
      <c r="V236" s="219">
        <v>0</v>
      </c>
      <c r="W236" s="219">
        <v>0</v>
      </c>
      <c r="X236" s="219">
        <v>0</v>
      </c>
      <c r="Y236" s="253">
        <v>0</v>
      </c>
      <c r="Z236" s="182">
        <f t="shared" si="124"/>
        <v>0</v>
      </c>
      <c r="AA236" s="184">
        <f t="shared" si="125"/>
        <v>0</v>
      </c>
      <c r="AB236" s="795">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796">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069">
        <f t="shared" si="126"/>
        <v>0</v>
      </c>
      <c r="AE236" s="784">
        <f t="shared" si="127"/>
        <v>0</v>
      </c>
      <c r="AF236" s="784">
        <f t="shared" si="128"/>
        <v>0</v>
      </c>
      <c r="AG236" s="784">
        <f t="shared" si="129"/>
        <v>0</v>
      </c>
      <c r="AH236" s="1015">
        <f t="shared" si="130"/>
        <v>0</v>
      </c>
      <c r="AI236" s="784">
        <f t="shared" si="131"/>
        <v>0</v>
      </c>
    </row>
    <row r="237" spans="1:39" x14ac:dyDescent="0.2">
      <c r="A237" s="201">
        <v>2011</v>
      </c>
      <c r="B237" s="214">
        <v>0</v>
      </c>
      <c r="C237" s="215">
        <v>0</v>
      </c>
      <c r="D237" s="215">
        <v>0</v>
      </c>
      <c r="E237" s="215">
        <v>0</v>
      </c>
      <c r="F237" s="215">
        <v>0</v>
      </c>
      <c r="G237" s="215">
        <v>0</v>
      </c>
      <c r="H237" s="215">
        <v>0</v>
      </c>
      <c r="I237" s="215">
        <v>0</v>
      </c>
      <c r="J237" s="215">
        <v>0</v>
      </c>
      <c r="K237" s="215">
        <v>0</v>
      </c>
      <c r="L237" s="251">
        <v>0</v>
      </c>
      <c r="M237" s="154">
        <f t="shared" si="122"/>
        <v>0</v>
      </c>
      <c r="N237" s="156">
        <f t="shared" si="123"/>
        <v>0</v>
      </c>
      <c r="O237" s="214">
        <v>0</v>
      </c>
      <c r="P237" s="215">
        <v>0</v>
      </c>
      <c r="Q237" s="215">
        <v>0</v>
      </c>
      <c r="R237" s="215">
        <v>0</v>
      </c>
      <c r="S237" s="215">
        <v>0</v>
      </c>
      <c r="T237" s="215">
        <v>0</v>
      </c>
      <c r="U237" s="215">
        <v>0</v>
      </c>
      <c r="V237" s="215">
        <v>0</v>
      </c>
      <c r="W237" s="215">
        <v>0</v>
      </c>
      <c r="X237" s="215">
        <v>0</v>
      </c>
      <c r="Y237" s="251">
        <v>0</v>
      </c>
      <c r="Z237" s="154">
        <f t="shared" si="124"/>
        <v>0</v>
      </c>
      <c r="AA237" s="156">
        <f t="shared" si="125"/>
        <v>0</v>
      </c>
      <c r="AB237" s="795">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796">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069">
        <f t="shared" si="126"/>
        <v>0</v>
      </c>
      <c r="AE237" s="784">
        <f t="shared" si="127"/>
        <v>0</v>
      </c>
      <c r="AF237" s="784">
        <f t="shared" si="128"/>
        <v>0</v>
      </c>
      <c r="AG237" s="784">
        <f t="shared" si="129"/>
        <v>0</v>
      </c>
      <c r="AH237" s="1015">
        <f t="shared" si="130"/>
        <v>0</v>
      </c>
      <c r="AI237" s="784">
        <f t="shared" si="131"/>
        <v>0</v>
      </c>
    </row>
    <row r="238" spans="1:39" x14ac:dyDescent="0.2">
      <c r="A238" s="202">
        <v>2012</v>
      </c>
      <c r="B238" s="216">
        <v>0</v>
      </c>
      <c r="C238" s="217">
        <v>0</v>
      </c>
      <c r="D238" s="217">
        <v>0</v>
      </c>
      <c r="E238" s="217">
        <v>0</v>
      </c>
      <c r="F238" s="217">
        <v>0</v>
      </c>
      <c r="G238" s="217">
        <v>0</v>
      </c>
      <c r="H238" s="217">
        <v>0</v>
      </c>
      <c r="I238" s="217">
        <v>0</v>
      </c>
      <c r="J238" s="217">
        <v>0</v>
      </c>
      <c r="K238" s="217">
        <v>0</v>
      </c>
      <c r="L238" s="252">
        <v>0</v>
      </c>
      <c r="M238" s="168">
        <f t="shared" si="122"/>
        <v>0</v>
      </c>
      <c r="N238" s="170">
        <f t="shared" si="123"/>
        <v>0</v>
      </c>
      <c r="O238" s="216">
        <v>0</v>
      </c>
      <c r="P238" s="217">
        <v>0</v>
      </c>
      <c r="Q238" s="217">
        <v>0</v>
      </c>
      <c r="R238" s="217">
        <v>0</v>
      </c>
      <c r="S238" s="217">
        <v>0</v>
      </c>
      <c r="T238" s="217">
        <v>0</v>
      </c>
      <c r="U238" s="217">
        <v>0</v>
      </c>
      <c r="V238" s="217">
        <v>0</v>
      </c>
      <c r="W238" s="217">
        <v>0</v>
      </c>
      <c r="X238" s="217">
        <v>0</v>
      </c>
      <c r="Y238" s="252">
        <v>0</v>
      </c>
      <c r="Z238" s="168">
        <f t="shared" si="124"/>
        <v>0</v>
      </c>
      <c r="AA238" s="170">
        <f t="shared" si="125"/>
        <v>0</v>
      </c>
      <c r="AB238" s="795">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796">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069">
        <f t="shared" si="126"/>
        <v>0</v>
      </c>
      <c r="AE238" s="784">
        <f t="shared" si="127"/>
        <v>0</v>
      </c>
      <c r="AF238" s="784">
        <f t="shared" si="128"/>
        <v>0</v>
      </c>
      <c r="AG238" s="784">
        <f t="shared" si="129"/>
        <v>0</v>
      </c>
      <c r="AH238" s="1015">
        <f t="shared" si="130"/>
        <v>0</v>
      </c>
      <c r="AI238" s="784">
        <f t="shared" si="131"/>
        <v>0</v>
      </c>
    </row>
    <row r="239" spans="1:39" x14ac:dyDescent="0.2">
      <c r="A239" s="202">
        <v>2013</v>
      </c>
      <c r="B239" s="216">
        <v>0</v>
      </c>
      <c r="C239" s="217">
        <v>0</v>
      </c>
      <c r="D239" s="217">
        <v>0</v>
      </c>
      <c r="E239" s="217">
        <v>0</v>
      </c>
      <c r="F239" s="217">
        <v>0</v>
      </c>
      <c r="G239" s="217">
        <v>0</v>
      </c>
      <c r="H239" s="217">
        <v>0</v>
      </c>
      <c r="I239" s="217">
        <v>0</v>
      </c>
      <c r="J239" s="217">
        <v>0</v>
      </c>
      <c r="K239" s="217">
        <v>0</v>
      </c>
      <c r="L239" s="252">
        <v>0</v>
      </c>
      <c r="M239" s="168">
        <f t="shared" si="122"/>
        <v>0</v>
      </c>
      <c r="N239" s="170">
        <f t="shared" si="123"/>
        <v>0</v>
      </c>
      <c r="O239" s="216">
        <v>0</v>
      </c>
      <c r="P239" s="217">
        <v>0</v>
      </c>
      <c r="Q239" s="217">
        <v>0</v>
      </c>
      <c r="R239" s="217">
        <v>0</v>
      </c>
      <c r="S239" s="217">
        <v>0</v>
      </c>
      <c r="T239" s="217">
        <v>0</v>
      </c>
      <c r="U239" s="217">
        <v>0</v>
      </c>
      <c r="V239" s="217">
        <v>0</v>
      </c>
      <c r="W239" s="217">
        <v>0</v>
      </c>
      <c r="X239" s="217">
        <v>0</v>
      </c>
      <c r="Y239" s="252">
        <v>0</v>
      </c>
      <c r="Z239" s="168">
        <f t="shared" si="124"/>
        <v>0</v>
      </c>
      <c r="AA239" s="170">
        <f t="shared" si="125"/>
        <v>0</v>
      </c>
      <c r="AB239" s="795">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796">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069">
        <f t="shared" si="126"/>
        <v>0</v>
      </c>
      <c r="AE239" s="784">
        <f t="shared" si="127"/>
        <v>0</v>
      </c>
      <c r="AF239" s="784">
        <f t="shared" si="128"/>
        <v>0</v>
      </c>
      <c r="AG239" s="784">
        <f t="shared" si="129"/>
        <v>0</v>
      </c>
      <c r="AH239" s="1015">
        <f t="shared" si="130"/>
        <v>0</v>
      </c>
      <c r="AI239" s="784">
        <f t="shared" si="131"/>
        <v>0</v>
      </c>
    </row>
    <row r="240" spans="1:39" x14ac:dyDescent="0.2">
      <c r="A240" s="202">
        <v>2014</v>
      </c>
      <c r="B240" s="216">
        <v>0</v>
      </c>
      <c r="C240" s="217">
        <v>0</v>
      </c>
      <c r="D240" s="217">
        <v>0</v>
      </c>
      <c r="E240" s="217">
        <v>0</v>
      </c>
      <c r="F240" s="217">
        <v>0</v>
      </c>
      <c r="G240" s="217">
        <v>0</v>
      </c>
      <c r="H240" s="217">
        <v>0</v>
      </c>
      <c r="I240" s="217">
        <v>0</v>
      </c>
      <c r="J240" s="217">
        <v>0</v>
      </c>
      <c r="K240" s="217">
        <v>0</v>
      </c>
      <c r="L240" s="252">
        <v>0</v>
      </c>
      <c r="M240" s="168">
        <f t="shared" si="122"/>
        <v>0</v>
      </c>
      <c r="N240" s="170">
        <f t="shared" si="123"/>
        <v>0</v>
      </c>
      <c r="O240" s="216">
        <v>0</v>
      </c>
      <c r="P240" s="217">
        <v>0</v>
      </c>
      <c r="Q240" s="217">
        <v>0</v>
      </c>
      <c r="R240" s="217">
        <v>0</v>
      </c>
      <c r="S240" s="217">
        <v>0</v>
      </c>
      <c r="T240" s="217">
        <v>0</v>
      </c>
      <c r="U240" s="217">
        <v>0</v>
      </c>
      <c r="V240" s="217">
        <v>0</v>
      </c>
      <c r="W240" s="217">
        <v>0</v>
      </c>
      <c r="X240" s="217">
        <v>0</v>
      </c>
      <c r="Y240" s="252">
        <v>0</v>
      </c>
      <c r="Z240" s="168">
        <f t="shared" si="124"/>
        <v>0</v>
      </c>
      <c r="AA240" s="170">
        <f t="shared" si="125"/>
        <v>0</v>
      </c>
      <c r="AB240" s="795">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796">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069">
        <f t="shared" si="126"/>
        <v>0</v>
      </c>
      <c r="AE240" s="784">
        <f t="shared" si="127"/>
        <v>0</v>
      </c>
      <c r="AF240" s="784">
        <f t="shared" si="128"/>
        <v>0</v>
      </c>
      <c r="AG240" s="784">
        <f t="shared" si="129"/>
        <v>0</v>
      </c>
      <c r="AH240" s="1015">
        <f t="shared" si="130"/>
        <v>0</v>
      </c>
      <c r="AI240" s="784">
        <f t="shared" si="131"/>
        <v>0</v>
      </c>
    </row>
    <row r="241" spans="1:35" ht="13.5" thickBot="1" x14ac:dyDescent="0.25">
      <c r="A241" s="200">
        <v>2015</v>
      </c>
      <c r="B241" s="218">
        <v>0</v>
      </c>
      <c r="C241" s="219">
        <v>0</v>
      </c>
      <c r="D241" s="219">
        <v>0</v>
      </c>
      <c r="E241" s="219">
        <v>0</v>
      </c>
      <c r="F241" s="219">
        <v>0</v>
      </c>
      <c r="G241" s="219">
        <v>0</v>
      </c>
      <c r="H241" s="219">
        <v>0</v>
      </c>
      <c r="I241" s="219">
        <v>0</v>
      </c>
      <c r="J241" s="219">
        <v>0</v>
      </c>
      <c r="K241" s="219">
        <v>0</v>
      </c>
      <c r="L241" s="253">
        <v>0</v>
      </c>
      <c r="M241" s="182">
        <f t="shared" si="122"/>
        <v>0</v>
      </c>
      <c r="N241" s="184">
        <f t="shared" si="123"/>
        <v>0</v>
      </c>
      <c r="O241" s="218">
        <v>0</v>
      </c>
      <c r="P241" s="219">
        <v>0</v>
      </c>
      <c r="Q241" s="219">
        <v>0</v>
      </c>
      <c r="R241" s="219">
        <v>0</v>
      </c>
      <c r="S241" s="219">
        <v>0</v>
      </c>
      <c r="T241" s="219">
        <v>0</v>
      </c>
      <c r="U241" s="219">
        <v>0</v>
      </c>
      <c r="V241" s="219">
        <v>0</v>
      </c>
      <c r="W241" s="219">
        <v>0</v>
      </c>
      <c r="X241" s="219">
        <v>0</v>
      </c>
      <c r="Y241" s="253">
        <v>0</v>
      </c>
      <c r="Z241" s="182">
        <f t="shared" si="124"/>
        <v>0</v>
      </c>
      <c r="AA241" s="184">
        <f t="shared" si="125"/>
        <v>0</v>
      </c>
      <c r="AB241" s="795">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796">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069">
        <f t="shared" si="126"/>
        <v>0</v>
      </c>
      <c r="AE241" s="784">
        <f t="shared" si="127"/>
        <v>0</v>
      </c>
      <c r="AF241" s="784">
        <f t="shared" si="128"/>
        <v>0</v>
      </c>
      <c r="AG241" s="784">
        <f t="shared" si="129"/>
        <v>0</v>
      </c>
      <c r="AH241" s="1015">
        <f t="shared" si="130"/>
        <v>0</v>
      </c>
      <c r="AI241" s="784">
        <f t="shared" si="131"/>
        <v>0</v>
      </c>
    </row>
    <row r="242" spans="1:35" x14ac:dyDescent="0.2">
      <c r="A242" s="201">
        <v>2016</v>
      </c>
      <c r="B242" s="214">
        <v>0</v>
      </c>
      <c r="C242" s="215">
        <v>0</v>
      </c>
      <c r="D242" s="215">
        <v>0</v>
      </c>
      <c r="E242" s="215">
        <v>0</v>
      </c>
      <c r="F242" s="215">
        <v>0</v>
      </c>
      <c r="G242" s="215">
        <v>0</v>
      </c>
      <c r="H242" s="215">
        <v>0</v>
      </c>
      <c r="I242" s="215">
        <v>0</v>
      </c>
      <c r="J242" s="215">
        <v>0</v>
      </c>
      <c r="K242" s="215">
        <v>0</v>
      </c>
      <c r="L242" s="251">
        <v>0</v>
      </c>
      <c r="M242" s="154">
        <f t="shared" si="122"/>
        <v>0</v>
      </c>
      <c r="N242" s="156">
        <f t="shared" si="123"/>
        <v>0</v>
      </c>
      <c r="O242" s="214">
        <v>0</v>
      </c>
      <c r="P242" s="215">
        <v>0</v>
      </c>
      <c r="Q242" s="215">
        <v>0</v>
      </c>
      <c r="R242" s="215">
        <v>0</v>
      </c>
      <c r="S242" s="215">
        <v>0</v>
      </c>
      <c r="T242" s="215">
        <v>0</v>
      </c>
      <c r="U242" s="215">
        <v>0</v>
      </c>
      <c r="V242" s="215">
        <v>0</v>
      </c>
      <c r="W242" s="215">
        <v>0</v>
      </c>
      <c r="X242" s="215">
        <v>0</v>
      </c>
      <c r="Y242" s="251">
        <v>0</v>
      </c>
      <c r="Z242" s="154">
        <f t="shared" si="124"/>
        <v>0</v>
      </c>
      <c r="AA242" s="156">
        <f t="shared" si="125"/>
        <v>0</v>
      </c>
      <c r="AB242" s="795">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796">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069">
        <f t="shared" si="126"/>
        <v>0</v>
      </c>
      <c r="AE242" s="784">
        <f t="shared" si="127"/>
        <v>0</v>
      </c>
      <c r="AF242" s="784">
        <f t="shared" si="128"/>
        <v>0</v>
      </c>
      <c r="AG242" s="784">
        <f t="shared" si="129"/>
        <v>0</v>
      </c>
      <c r="AH242" s="1015">
        <f t="shared" si="130"/>
        <v>0</v>
      </c>
      <c r="AI242" s="784">
        <f t="shared" si="131"/>
        <v>0</v>
      </c>
    </row>
    <row r="243" spans="1:35" x14ac:dyDescent="0.2">
      <c r="A243" s="202">
        <v>2017</v>
      </c>
      <c r="B243" s="216">
        <v>0</v>
      </c>
      <c r="C243" s="217">
        <v>0</v>
      </c>
      <c r="D243" s="217">
        <v>0</v>
      </c>
      <c r="E243" s="217">
        <v>0</v>
      </c>
      <c r="F243" s="217">
        <v>0</v>
      </c>
      <c r="G243" s="217">
        <v>0</v>
      </c>
      <c r="H243" s="217">
        <v>0</v>
      </c>
      <c r="I243" s="217">
        <v>0</v>
      </c>
      <c r="J243" s="217">
        <v>0</v>
      </c>
      <c r="K243" s="217">
        <v>0</v>
      </c>
      <c r="L243" s="252">
        <v>0</v>
      </c>
      <c r="M243" s="168">
        <f t="shared" si="122"/>
        <v>0</v>
      </c>
      <c r="N243" s="170">
        <f t="shared" si="123"/>
        <v>0</v>
      </c>
      <c r="O243" s="216">
        <v>0</v>
      </c>
      <c r="P243" s="217">
        <v>0</v>
      </c>
      <c r="Q243" s="217">
        <v>0</v>
      </c>
      <c r="R243" s="217">
        <v>0</v>
      </c>
      <c r="S243" s="217">
        <v>0</v>
      </c>
      <c r="T243" s="217">
        <v>0</v>
      </c>
      <c r="U243" s="217">
        <v>0</v>
      </c>
      <c r="V243" s="217">
        <v>0</v>
      </c>
      <c r="W243" s="217">
        <v>0</v>
      </c>
      <c r="X243" s="217">
        <v>0</v>
      </c>
      <c r="Y243" s="252">
        <v>0</v>
      </c>
      <c r="Z243" s="168">
        <f t="shared" si="124"/>
        <v>0</v>
      </c>
      <c r="AA243" s="170">
        <f t="shared" si="125"/>
        <v>0</v>
      </c>
      <c r="AB243" s="795">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796">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069">
        <f t="shared" si="126"/>
        <v>0</v>
      </c>
      <c r="AE243" s="784">
        <f t="shared" si="127"/>
        <v>0</v>
      </c>
      <c r="AF243" s="784">
        <f t="shared" si="128"/>
        <v>0</v>
      </c>
      <c r="AG243" s="784">
        <f t="shared" si="129"/>
        <v>0</v>
      </c>
      <c r="AH243" s="1015">
        <f t="shared" si="130"/>
        <v>0</v>
      </c>
      <c r="AI243" s="784">
        <f t="shared" si="131"/>
        <v>0</v>
      </c>
    </row>
    <row r="244" spans="1:35" x14ac:dyDescent="0.2">
      <c r="A244" s="202">
        <v>2018</v>
      </c>
      <c r="B244" s="216">
        <v>0</v>
      </c>
      <c r="C244" s="217">
        <v>0</v>
      </c>
      <c r="D244" s="217">
        <v>0</v>
      </c>
      <c r="E244" s="217">
        <v>0</v>
      </c>
      <c r="F244" s="217">
        <v>0</v>
      </c>
      <c r="G244" s="217">
        <v>0</v>
      </c>
      <c r="H244" s="217">
        <v>0</v>
      </c>
      <c r="I244" s="217">
        <v>0</v>
      </c>
      <c r="J244" s="217">
        <v>0</v>
      </c>
      <c r="K244" s="217">
        <v>0</v>
      </c>
      <c r="L244" s="252">
        <v>0</v>
      </c>
      <c r="M244" s="168">
        <f t="shared" si="122"/>
        <v>0</v>
      </c>
      <c r="N244" s="170">
        <f t="shared" si="123"/>
        <v>0</v>
      </c>
      <c r="O244" s="216">
        <v>0</v>
      </c>
      <c r="P244" s="217">
        <v>0</v>
      </c>
      <c r="Q244" s="217">
        <v>0</v>
      </c>
      <c r="R244" s="217">
        <v>0</v>
      </c>
      <c r="S244" s="217">
        <v>0</v>
      </c>
      <c r="T244" s="217">
        <v>0</v>
      </c>
      <c r="U244" s="217">
        <v>0</v>
      </c>
      <c r="V244" s="217">
        <v>0</v>
      </c>
      <c r="W244" s="217">
        <v>0</v>
      </c>
      <c r="X244" s="217">
        <v>0</v>
      </c>
      <c r="Y244" s="252">
        <v>0</v>
      </c>
      <c r="Z244" s="168">
        <f t="shared" si="124"/>
        <v>0</v>
      </c>
      <c r="AA244" s="170">
        <f t="shared" si="125"/>
        <v>0</v>
      </c>
      <c r="AB244" s="795">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796">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069">
        <f t="shared" si="126"/>
        <v>0</v>
      </c>
      <c r="AE244" s="784">
        <f t="shared" si="127"/>
        <v>0</v>
      </c>
      <c r="AF244" s="784">
        <f t="shared" si="128"/>
        <v>0</v>
      </c>
      <c r="AG244" s="784">
        <f t="shared" si="129"/>
        <v>0</v>
      </c>
      <c r="AH244" s="1015">
        <f t="shared" si="130"/>
        <v>0</v>
      </c>
      <c r="AI244" s="784">
        <f t="shared" si="131"/>
        <v>0</v>
      </c>
    </row>
    <row r="245" spans="1:35" x14ac:dyDescent="0.2">
      <c r="A245" s="202">
        <v>2019</v>
      </c>
      <c r="B245" s="216">
        <v>0</v>
      </c>
      <c r="C245" s="217">
        <v>0</v>
      </c>
      <c r="D245" s="217">
        <v>0</v>
      </c>
      <c r="E245" s="217">
        <v>0</v>
      </c>
      <c r="F245" s="217">
        <v>0</v>
      </c>
      <c r="G245" s="217">
        <v>0</v>
      </c>
      <c r="H245" s="217">
        <v>0</v>
      </c>
      <c r="I245" s="217">
        <v>0</v>
      </c>
      <c r="J245" s="217">
        <v>0</v>
      </c>
      <c r="K245" s="217">
        <v>0</v>
      </c>
      <c r="L245" s="252">
        <v>0</v>
      </c>
      <c r="M245" s="168">
        <f t="shared" si="122"/>
        <v>0</v>
      </c>
      <c r="N245" s="170">
        <f t="shared" si="123"/>
        <v>0</v>
      </c>
      <c r="O245" s="216">
        <v>0</v>
      </c>
      <c r="P245" s="217">
        <v>0</v>
      </c>
      <c r="Q245" s="217">
        <v>0</v>
      </c>
      <c r="R245" s="217">
        <v>0</v>
      </c>
      <c r="S245" s="217">
        <v>0</v>
      </c>
      <c r="T245" s="217">
        <v>0</v>
      </c>
      <c r="U245" s="217">
        <v>0</v>
      </c>
      <c r="V245" s="217">
        <v>0</v>
      </c>
      <c r="W245" s="217">
        <v>0</v>
      </c>
      <c r="X245" s="217">
        <v>0</v>
      </c>
      <c r="Y245" s="252">
        <v>0</v>
      </c>
      <c r="Z245" s="168">
        <f t="shared" si="124"/>
        <v>0</v>
      </c>
      <c r="AA245" s="170">
        <f t="shared" si="125"/>
        <v>0</v>
      </c>
      <c r="AB245" s="795">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796">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069">
        <f t="shared" si="126"/>
        <v>0</v>
      </c>
      <c r="AE245" s="784">
        <f t="shared" si="127"/>
        <v>0</v>
      </c>
      <c r="AF245" s="784">
        <f t="shared" si="128"/>
        <v>0</v>
      </c>
      <c r="AG245" s="784">
        <f t="shared" si="129"/>
        <v>0</v>
      </c>
      <c r="AH245" s="1015">
        <f t="shared" si="130"/>
        <v>0</v>
      </c>
      <c r="AI245" s="784">
        <f t="shared" si="131"/>
        <v>0</v>
      </c>
    </row>
    <row r="246" spans="1:35" ht="13.5" thickBot="1" x14ac:dyDescent="0.25">
      <c r="A246" s="200">
        <v>2020</v>
      </c>
      <c r="B246" s="218">
        <v>0</v>
      </c>
      <c r="C246" s="219">
        <v>0</v>
      </c>
      <c r="D246" s="219">
        <v>0</v>
      </c>
      <c r="E246" s="219">
        <v>0</v>
      </c>
      <c r="F246" s="219">
        <v>0</v>
      </c>
      <c r="G246" s="219">
        <v>0</v>
      </c>
      <c r="H246" s="219">
        <v>0</v>
      </c>
      <c r="I246" s="219">
        <v>0</v>
      </c>
      <c r="J246" s="219">
        <v>0</v>
      </c>
      <c r="K246" s="219">
        <v>0</v>
      </c>
      <c r="L246" s="253">
        <v>0</v>
      </c>
      <c r="M246" s="182">
        <f t="shared" si="122"/>
        <v>0</v>
      </c>
      <c r="N246" s="184">
        <f t="shared" si="123"/>
        <v>0</v>
      </c>
      <c r="O246" s="218">
        <v>0</v>
      </c>
      <c r="P246" s="219">
        <v>0</v>
      </c>
      <c r="Q246" s="219">
        <v>0</v>
      </c>
      <c r="R246" s="219">
        <v>0</v>
      </c>
      <c r="S246" s="219">
        <v>0</v>
      </c>
      <c r="T246" s="219">
        <v>0</v>
      </c>
      <c r="U246" s="219">
        <v>0</v>
      </c>
      <c r="V246" s="219">
        <v>0</v>
      </c>
      <c r="W246" s="219">
        <v>0</v>
      </c>
      <c r="X246" s="219">
        <v>0</v>
      </c>
      <c r="Y246" s="253">
        <v>0</v>
      </c>
      <c r="Z246" s="182">
        <f t="shared" si="124"/>
        <v>0</v>
      </c>
      <c r="AA246" s="184">
        <f t="shared" si="125"/>
        <v>0</v>
      </c>
      <c r="AB246" s="795">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796">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069">
        <f t="shared" si="126"/>
        <v>0</v>
      </c>
      <c r="AE246" s="784">
        <f t="shared" si="127"/>
        <v>0</v>
      </c>
      <c r="AF246" s="784">
        <f t="shared" si="128"/>
        <v>0</v>
      </c>
      <c r="AG246" s="784">
        <f t="shared" si="129"/>
        <v>0</v>
      </c>
      <c r="AH246" s="1015">
        <f t="shared" si="130"/>
        <v>0</v>
      </c>
      <c r="AI246" s="784">
        <f t="shared" si="131"/>
        <v>0</v>
      </c>
    </row>
    <row r="247" spans="1:35" x14ac:dyDescent="0.2">
      <c r="A247" s="201">
        <v>2021</v>
      </c>
      <c r="B247" s="214">
        <v>0</v>
      </c>
      <c r="C247" s="215">
        <v>0</v>
      </c>
      <c r="D247" s="215">
        <v>0</v>
      </c>
      <c r="E247" s="215">
        <v>0</v>
      </c>
      <c r="F247" s="215">
        <v>0</v>
      </c>
      <c r="G247" s="215">
        <v>0</v>
      </c>
      <c r="H247" s="215">
        <v>0</v>
      </c>
      <c r="I247" s="215">
        <v>0</v>
      </c>
      <c r="J247" s="215">
        <v>0</v>
      </c>
      <c r="K247" s="215">
        <v>0</v>
      </c>
      <c r="L247" s="251">
        <v>0</v>
      </c>
      <c r="M247" s="154">
        <f t="shared" si="122"/>
        <v>0</v>
      </c>
      <c r="N247" s="156">
        <f t="shared" si="123"/>
        <v>0</v>
      </c>
      <c r="O247" s="214">
        <v>0</v>
      </c>
      <c r="P247" s="215">
        <v>0</v>
      </c>
      <c r="Q247" s="215">
        <v>0</v>
      </c>
      <c r="R247" s="215">
        <v>0</v>
      </c>
      <c r="S247" s="215">
        <v>0</v>
      </c>
      <c r="T247" s="215">
        <v>0</v>
      </c>
      <c r="U247" s="215">
        <v>0</v>
      </c>
      <c r="V247" s="215">
        <v>0</v>
      </c>
      <c r="W247" s="215">
        <v>0</v>
      </c>
      <c r="X247" s="215">
        <v>0</v>
      </c>
      <c r="Y247" s="251">
        <v>0</v>
      </c>
      <c r="Z247" s="154">
        <f t="shared" si="124"/>
        <v>0</v>
      </c>
      <c r="AA247" s="156">
        <f t="shared" si="125"/>
        <v>0</v>
      </c>
      <c r="AB247" s="795">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796">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069">
        <f t="shared" si="126"/>
        <v>0</v>
      </c>
      <c r="AE247" s="784">
        <f t="shared" si="127"/>
        <v>0</v>
      </c>
      <c r="AF247" s="784">
        <f t="shared" si="128"/>
        <v>0</v>
      </c>
      <c r="AG247" s="784">
        <f t="shared" si="129"/>
        <v>0</v>
      </c>
      <c r="AH247" s="1015">
        <f t="shared" si="130"/>
        <v>0</v>
      </c>
      <c r="AI247" s="784">
        <f t="shared" si="131"/>
        <v>0</v>
      </c>
    </row>
    <row r="248" spans="1:35" x14ac:dyDescent="0.2">
      <c r="A248" s="202">
        <v>2022</v>
      </c>
      <c r="B248" s="216">
        <v>0</v>
      </c>
      <c r="C248" s="217">
        <v>0</v>
      </c>
      <c r="D248" s="217">
        <v>0</v>
      </c>
      <c r="E248" s="217">
        <v>0</v>
      </c>
      <c r="F248" s="217">
        <v>0</v>
      </c>
      <c r="G248" s="217">
        <v>0</v>
      </c>
      <c r="H248" s="217">
        <v>0</v>
      </c>
      <c r="I248" s="217">
        <v>0</v>
      </c>
      <c r="J248" s="217">
        <v>0</v>
      </c>
      <c r="K248" s="217">
        <v>0</v>
      </c>
      <c r="L248" s="252">
        <v>0</v>
      </c>
      <c r="M248" s="168">
        <f t="shared" si="122"/>
        <v>0</v>
      </c>
      <c r="N248" s="170">
        <f t="shared" si="123"/>
        <v>0</v>
      </c>
      <c r="O248" s="216">
        <v>0</v>
      </c>
      <c r="P248" s="217">
        <v>0</v>
      </c>
      <c r="Q248" s="217">
        <v>0</v>
      </c>
      <c r="R248" s="217">
        <v>0</v>
      </c>
      <c r="S248" s="217">
        <v>0</v>
      </c>
      <c r="T248" s="217">
        <v>0</v>
      </c>
      <c r="U248" s="217">
        <v>0</v>
      </c>
      <c r="V248" s="217">
        <v>0</v>
      </c>
      <c r="W248" s="217">
        <v>0</v>
      </c>
      <c r="X248" s="217">
        <v>0</v>
      </c>
      <c r="Y248" s="252">
        <v>0</v>
      </c>
      <c r="Z248" s="168">
        <f t="shared" si="124"/>
        <v>0</v>
      </c>
      <c r="AA248" s="170">
        <f t="shared" si="125"/>
        <v>0</v>
      </c>
      <c r="AB248" s="795">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796">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069">
        <f t="shared" si="126"/>
        <v>0</v>
      </c>
      <c r="AE248" s="784">
        <f>SUMPRODUCT($B$74:$L$74,B248:L248)</f>
        <v>0</v>
      </c>
      <c r="AF248" s="784">
        <f>SUMPRODUCT($O$74:$Y$74,O248:Y248)</f>
        <v>0</v>
      </c>
      <c r="AG248" s="784">
        <f>SUM(AE248:AF248)</f>
        <v>0</v>
      </c>
      <c r="AH248" s="1015">
        <f t="shared" si="130"/>
        <v>0</v>
      </c>
      <c r="AI248" s="784">
        <f t="shared" si="131"/>
        <v>0</v>
      </c>
    </row>
    <row r="249" spans="1:35" x14ac:dyDescent="0.2">
      <c r="A249" s="202">
        <v>2023</v>
      </c>
      <c r="B249" s="216">
        <v>0</v>
      </c>
      <c r="C249" s="217">
        <v>0</v>
      </c>
      <c r="D249" s="217">
        <v>0</v>
      </c>
      <c r="E249" s="217">
        <v>0</v>
      </c>
      <c r="F249" s="217">
        <v>0</v>
      </c>
      <c r="G249" s="217">
        <v>0</v>
      </c>
      <c r="H249" s="217">
        <v>0</v>
      </c>
      <c r="I249" s="217">
        <v>0</v>
      </c>
      <c r="J249" s="217">
        <v>0</v>
      </c>
      <c r="K249" s="217">
        <v>0</v>
      </c>
      <c r="L249" s="252">
        <v>0</v>
      </c>
      <c r="M249" s="168">
        <f t="shared" si="122"/>
        <v>0</v>
      </c>
      <c r="N249" s="170">
        <f t="shared" si="123"/>
        <v>0</v>
      </c>
      <c r="O249" s="216">
        <v>0</v>
      </c>
      <c r="P249" s="217">
        <v>0</v>
      </c>
      <c r="Q249" s="217">
        <v>0</v>
      </c>
      <c r="R249" s="217">
        <v>0</v>
      </c>
      <c r="S249" s="217">
        <v>0</v>
      </c>
      <c r="T249" s="217">
        <v>0</v>
      </c>
      <c r="U249" s="217">
        <v>0</v>
      </c>
      <c r="V249" s="217">
        <v>0</v>
      </c>
      <c r="W249" s="217">
        <v>0</v>
      </c>
      <c r="X249" s="217">
        <v>0</v>
      </c>
      <c r="Y249" s="252">
        <v>0</v>
      </c>
      <c r="Z249" s="168">
        <f t="shared" si="124"/>
        <v>0</v>
      </c>
      <c r="AA249" s="170">
        <f t="shared" si="125"/>
        <v>0</v>
      </c>
      <c r="AB249" s="795">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796">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069">
        <f t="shared" si="126"/>
        <v>0</v>
      </c>
      <c r="AE249" s="784">
        <f t="shared" ref="AE249:AE276" si="132">SUMPRODUCT($B$74:$L$74,B249:L249)</f>
        <v>0</v>
      </c>
      <c r="AF249" s="784">
        <f t="shared" ref="AF249:AF276" si="133">SUMPRODUCT($O$74:$Y$74,O249:Y249)</f>
        <v>0</v>
      </c>
      <c r="AG249" s="784">
        <f t="shared" ref="AG249:AG276" si="134">SUM(AE249:AF249)</f>
        <v>0</v>
      </c>
      <c r="AH249" s="1015">
        <f t="shared" si="130"/>
        <v>0</v>
      </c>
      <c r="AI249" s="784">
        <f t="shared" si="131"/>
        <v>0</v>
      </c>
    </row>
    <row r="250" spans="1:35" x14ac:dyDescent="0.2">
      <c r="A250" s="202">
        <v>2024</v>
      </c>
      <c r="B250" s="216">
        <v>0</v>
      </c>
      <c r="C250" s="217">
        <v>0</v>
      </c>
      <c r="D250" s="217">
        <v>0</v>
      </c>
      <c r="E250" s="217">
        <v>0</v>
      </c>
      <c r="F250" s="217">
        <v>0</v>
      </c>
      <c r="G250" s="217">
        <v>0</v>
      </c>
      <c r="H250" s="217">
        <v>0</v>
      </c>
      <c r="I250" s="217">
        <v>0</v>
      </c>
      <c r="J250" s="217">
        <v>0</v>
      </c>
      <c r="K250" s="217">
        <v>0</v>
      </c>
      <c r="L250" s="252">
        <v>0</v>
      </c>
      <c r="M250" s="168">
        <f t="shared" si="122"/>
        <v>0</v>
      </c>
      <c r="N250" s="170">
        <f t="shared" si="123"/>
        <v>0</v>
      </c>
      <c r="O250" s="216">
        <v>0</v>
      </c>
      <c r="P250" s="217">
        <v>0</v>
      </c>
      <c r="Q250" s="217">
        <v>0</v>
      </c>
      <c r="R250" s="217">
        <v>0</v>
      </c>
      <c r="S250" s="217">
        <v>0</v>
      </c>
      <c r="T250" s="217">
        <v>0</v>
      </c>
      <c r="U250" s="217">
        <v>0</v>
      </c>
      <c r="V250" s="217">
        <v>0</v>
      </c>
      <c r="W250" s="217">
        <v>0</v>
      </c>
      <c r="X250" s="217">
        <v>0</v>
      </c>
      <c r="Y250" s="252">
        <v>0</v>
      </c>
      <c r="Z250" s="168">
        <f t="shared" si="124"/>
        <v>0</v>
      </c>
      <c r="AA250" s="170">
        <f t="shared" si="125"/>
        <v>0</v>
      </c>
      <c r="AB250" s="795">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796">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069">
        <f t="shared" si="126"/>
        <v>0</v>
      </c>
      <c r="AE250" s="784">
        <f t="shared" si="132"/>
        <v>0</v>
      </c>
      <c r="AF250" s="784">
        <f t="shared" si="133"/>
        <v>0</v>
      </c>
      <c r="AG250" s="784">
        <f t="shared" si="134"/>
        <v>0</v>
      </c>
      <c r="AH250" s="1015">
        <f t="shared" si="130"/>
        <v>0</v>
      </c>
      <c r="AI250" s="784">
        <f t="shared" si="131"/>
        <v>0</v>
      </c>
    </row>
    <row r="251" spans="1:35" ht="13.5" thickBot="1" x14ac:dyDescent="0.25">
      <c r="A251" s="200">
        <v>2025</v>
      </c>
      <c r="B251" s="218">
        <v>0</v>
      </c>
      <c r="C251" s="219">
        <v>0</v>
      </c>
      <c r="D251" s="219">
        <v>0</v>
      </c>
      <c r="E251" s="219">
        <v>0</v>
      </c>
      <c r="F251" s="219">
        <v>0</v>
      </c>
      <c r="G251" s="219">
        <v>0</v>
      </c>
      <c r="H251" s="219">
        <v>0</v>
      </c>
      <c r="I251" s="219">
        <v>0</v>
      </c>
      <c r="J251" s="219">
        <v>0</v>
      </c>
      <c r="K251" s="219">
        <v>0</v>
      </c>
      <c r="L251" s="253">
        <v>0</v>
      </c>
      <c r="M251" s="182">
        <f t="shared" si="122"/>
        <v>0</v>
      </c>
      <c r="N251" s="184">
        <f t="shared" si="123"/>
        <v>0</v>
      </c>
      <c r="O251" s="218">
        <v>0</v>
      </c>
      <c r="P251" s="219">
        <v>0</v>
      </c>
      <c r="Q251" s="219">
        <v>0</v>
      </c>
      <c r="R251" s="219">
        <v>0</v>
      </c>
      <c r="S251" s="219">
        <v>0</v>
      </c>
      <c r="T251" s="219">
        <v>0</v>
      </c>
      <c r="U251" s="219">
        <v>0</v>
      </c>
      <c r="V251" s="219">
        <v>0</v>
      </c>
      <c r="W251" s="219">
        <v>0</v>
      </c>
      <c r="X251" s="219">
        <v>0</v>
      </c>
      <c r="Y251" s="253">
        <v>0</v>
      </c>
      <c r="Z251" s="182">
        <f t="shared" si="124"/>
        <v>0</v>
      </c>
      <c r="AA251" s="184">
        <f t="shared" si="125"/>
        <v>0</v>
      </c>
      <c r="AB251" s="795">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796">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069">
        <f t="shared" si="126"/>
        <v>0</v>
      </c>
      <c r="AE251" s="784">
        <f t="shared" si="132"/>
        <v>0</v>
      </c>
      <c r="AF251" s="784">
        <f t="shared" si="133"/>
        <v>0</v>
      </c>
      <c r="AG251" s="784">
        <f t="shared" si="134"/>
        <v>0</v>
      </c>
      <c r="AH251" s="1015">
        <f t="shared" si="130"/>
        <v>0</v>
      </c>
      <c r="AI251" s="784">
        <f t="shared" si="131"/>
        <v>0</v>
      </c>
    </row>
    <row r="252" spans="1:35" x14ac:dyDescent="0.2">
      <c r="A252" s="201">
        <v>2026</v>
      </c>
      <c r="B252" s="214">
        <v>0</v>
      </c>
      <c r="C252" s="215">
        <v>0</v>
      </c>
      <c r="D252" s="215">
        <v>0</v>
      </c>
      <c r="E252" s="215">
        <v>0</v>
      </c>
      <c r="F252" s="215">
        <v>0</v>
      </c>
      <c r="G252" s="215">
        <v>0</v>
      </c>
      <c r="H252" s="215">
        <v>0</v>
      </c>
      <c r="I252" s="215">
        <v>0</v>
      </c>
      <c r="J252" s="215">
        <v>0</v>
      </c>
      <c r="K252" s="215">
        <v>0</v>
      </c>
      <c r="L252" s="251">
        <v>0</v>
      </c>
      <c r="M252" s="154">
        <f t="shared" si="122"/>
        <v>0</v>
      </c>
      <c r="N252" s="156">
        <f t="shared" si="123"/>
        <v>0</v>
      </c>
      <c r="O252" s="214">
        <v>0</v>
      </c>
      <c r="P252" s="215">
        <v>0</v>
      </c>
      <c r="Q252" s="215">
        <v>0</v>
      </c>
      <c r="R252" s="215">
        <v>0</v>
      </c>
      <c r="S252" s="215">
        <v>0</v>
      </c>
      <c r="T252" s="215">
        <v>0</v>
      </c>
      <c r="U252" s="215">
        <v>0</v>
      </c>
      <c r="V252" s="215">
        <v>0</v>
      </c>
      <c r="W252" s="215">
        <v>0</v>
      </c>
      <c r="X252" s="215">
        <v>0</v>
      </c>
      <c r="Y252" s="251">
        <v>0</v>
      </c>
      <c r="Z252" s="154">
        <f t="shared" si="124"/>
        <v>0</v>
      </c>
      <c r="AA252" s="156">
        <f t="shared" si="125"/>
        <v>0</v>
      </c>
      <c r="AB252" s="795">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796">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069">
        <f t="shared" si="126"/>
        <v>0</v>
      </c>
      <c r="AE252" s="784">
        <f t="shared" si="132"/>
        <v>0</v>
      </c>
      <c r="AF252" s="784">
        <f t="shared" si="133"/>
        <v>0</v>
      </c>
      <c r="AG252" s="784">
        <f t="shared" si="134"/>
        <v>0</v>
      </c>
      <c r="AH252" s="1015">
        <f t="shared" si="130"/>
        <v>0</v>
      </c>
      <c r="AI252" s="784">
        <f t="shared" si="131"/>
        <v>0</v>
      </c>
    </row>
    <row r="253" spans="1:35" x14ac:dyDescent="0.2">
      <c r="A253" s="202">
        <v>2027</v>
      </c>
      <c r="B253" s="216">
        <v>0</v>
      </c>
      <c r="C253" s="217">
        <v>0</v>
      </c>
      <c r="D253" s="217">
        <v>0</v>
      </c>
      <c r="E253" s="217">
        <v>0</v>
      </c>
      <c r="F253" s="217">
        <v>0</v>
      </c>
      <c r="G253" s="217">
        <v>0</v>
      </c>
      <c r="H253" s="217">
        <v>0</v>
      </c>
      <c r="I253" s="217">
        <v>0</v>
      </c>
      <c r="J253" s="217">
        <v>0</v>
      </c>
      <c r="K253" s="217">
        <v>0</v>
      </c>
      <c r="L253" s="252">
        <v>0</v>
      </c>
      <c r="M253" s="168">
        <f t="shared" si="122"/>
        <v>0</v>
      </c>
      <c r="N253" s="170">
        <f t="shared" si="123"/>
        <v>0</v>
      </c>
      <c r="O253" s="216">
        <v>0</v>
      </c>
      <c r="P253" s="217">
        <v>0</v>
      </c>
      <c r="Q253" s="217">
        <v>0</v>
      </c>
      <c r="R253" s="217">
        <v>0</v>
      </c>
      <c r="S253" s="217">
        <v>0</v>
      </c>
      <c r="T253" s="217">
        <v>0</v>
      </c>
      <c r="U253" s="217">
        <v>0</v>
      </c>
      <c r="V253" s="217">
        <v>0</v>
      </c>
      <c r="W253" s="217">
        <v>0</v>
      </c>
      <c r="X253" s="217">
        <v>0</v>
      </c>
      <c r="Y253" s="252">
        <v>0</v>
      </c>
      <c r="Z253" s="168">
        <f t="shared" si="124"/>
        <v>0</v>
      </c>
      <c r="AA253" s="170">
        <f t="shared" si="125"/>
        <v>0</v>
      </c>
      <c r="AB253" s="795">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796">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069">
        <f t="shared" si="126"/>
        <v>0</v>
      </c>
      <c r="AE253" s="784">
        <f t="shared" si="132"/>
        <v>0</v>
      </c>
      <c r="AF253" s="784">
        <f t="shared" si="133"/>
        <v>0</v>
      </c>
      <c r="AG253" s="784">
        <f t="shared" si="134"/>
        <v>0</v>
      </c>
      <c r="AH253" s="1015">
        <f t="shared" si="130"/>
        <v>0</v>
      </c>
      <c r="AI253" s="784">
        <f t="shared" si="131"/>
        <v>0</v>
      </c>
    </row>
    <row r="254" spans="1:35" x14ac:dyDescent="0.2">
      <c r="A254" s="202">
        <v>2028</v>
      </c>
      <c r="B254" s="216">
        <v>0</v>
      </c>
      <c r="C254" s="217">
        <v>0</v>
      </c>
      <c r="D254" s="217">
        <v>0</v>
      </c>
      <c r="E254" s="217">
        <v>0</v>
      </c>
      <c r="F254" s="217">
        <v>0</v>
      </c>
      <c r="G254" s="217">
        <v>0</v>
      </c>
      <c r="H254" s="217">
        <v>0</v>
      </c>
      <c r="I254" s="217">
        <v>0</v>
      </c>
      <c r="J254" s="217">
        <v>0</v>
      </c>
      <c r="K254" s="217">
        <v>0</v>
      </c>
      <c r="L254" s="252">
        <v>0</v>
      </c>
      <c r="M254" s="168">
        <f t="shared" si="122"/>
        <v>0</v>
      </c>
      <c r="N254" s="170">
        <f t="shared" si="123"/>
        <v>0</v>
      </c>
      <c r="O254" s="216">
        <v>0</v>
      </c>
      <c r="P254" s="217">
        <v>0</v>
      </c>
      <c r="Q254" s="217">
        <v>0</v>
      </c>
      <c r="R254" s="217">
        <v>0</v>
      </c>
      <c r="S254" s="217">
        <v>0</v>
      </c>
      <c r="T254" s="217">
        <v>0</v>
      </c>
      <c r="U254" s="217">
        <v>0</v>
      </c>
      <c r="V254" s="217">
        <v>0</v>
      </c>
      <c r="W254" s="217">
        <v>0</v>
      </c>
      <c r="X254" s="217">
        <v>0</v>
      </c>
      <c r="Y254" s="252">
        <v>0</v>
      </c>
      <c r="Z254" s="168">
        <f t="shared" si="124"/>
        <v>0</v>
      </c>
      <c r="AA254" s="170">
        <f t="shared" si="125"/>
        <v>0</v>
      </c>
      <c r="AB254" s="795">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796">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069">
        <f t="shared" si="126"/>
        <v>0</v>
      </c>
      <c r="AE254" s="784">
        <f t="shared" si="132"/>
        <v>0</v>
      </c>
      <c r="AF254" s="784">
        <f t="shared" si="133"/>
        <v>0</v>
      </c>
      <c r="AG254" s="784">
        <f t="shared" si="134"/>
        <v>0</v>
      </c>
      <c r="AH254" s="1015">
        <f t="shared" si="130"/>
        <v>0</v>
      </c>
      <c r="AI254" s="784">
        <f t="shared" si="131"/>
        <v>0</v>
      </c>
    </row>
    <row r="255" spans="1:35" x14ac:dyDescent="0.2">
      <c r="A255" s="202">
        <v>2029</v>
      </c>
      <c r="B255" s="216">
        <v>0</v>
      </c>
      <c r="C255" s="217">
        <v>0</v>
      </c>
      <c r="D255" s="217">
        <v>0</v>
      </c>
      <c r="E255" s="217">
        <v>0</v>
      </c>
      <c r="F255" s="217">
        <v>0</v>
      </c>
      <c r="G255" s="217">
        <v>0</v>
      </c>
      <c r="H255" s="217">
        <v>0</v>
      </c>
      <c r="I255" s="217">
        <v>0</v>
      </c>
      <c r="J255" s="217">
        <v>0</v>
      </c>
      <c r="K255" s="217">
        <v>0</v>
      </c>
      <c r="L255" s="252">
        <v>0</v>
      </c>
      <c r="M255" s="168">
        <f t="shared" si="122"/>
        <v>0</v>
      </c>
      <c r="N255" s="170">
        <f t="shared" si="123"/>
        <v>0</v>
      </c>
      <c r="O255" s="216">
        <v>0</v>
      </c>
      <c r="P255" s="217">
        <v>0</v>
      </c>
      <c r="Q255" s="217">
        <v>0</v>
      </c>
      <c r="R255" s="217">
        <v>0</v>
      </c>
      <c r="S255" s="217">
        <v>0</v>
      </c>
      <c r="T255" s="217">
        <v>0</v>
      </c>
      <c r="U255" s="217">
        <v>0</v>
      </c>
      <c r="V255" s="217">
        <v>0</v>
      </c>
      <c r="W255" s="217">
        <v>0</v>
      </c>
      <c r="X255" s="217">
        <v>0</v>
      </c>
      <c r="Y255" s="252">
        <v>0</v>
      </c>
      <c r="Z255" s="168">
        <f t="shared" si="124"/>
        <v>0</v>
      </c>
      <c r="AA255" s="170">
        <f t="shared" si="125"/>
        <v>0</v>
      </c>
      <c r="AB255" s="795">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796">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069">
        <f t="shared" si="126"/>
        <v>0</v>
      </c>
      <c r="AE255" s="784">
        <f t="shared" si="132"/>
        <v>0</v>
      </c>
      <c r="AF255" s="784">
        <f t="shared" si="133"/>
        <v>0</v>
      </c>
      <c r="AG255" s="784">
        <f t="shared" si="134"/>
        <v>0</v>
      </c>
      <c r="AH255" s="1015">
        <f t="shared" si="130"/>
        <v>0</v>
      </c>
      <c r="AI255" s="784">
        <f t="shared" si="131"/>
        <v>0</v>
      </c>
    </row>
    <row r="256" spans="1:35" ht="13.5" thickBot="1" x14ac:dyDescent="0.25">
      <c r="A256" s="200">
        <v>2030</v>
      </c>
      <c r="B256" s="218">
        <v>0</v>
      </c>
      <c r="C256" s="219">
        <v>0</v>
      </c>
      <c r="D256" s="219">
        <v>0</v>
      </c>
      <c r="E256" s="219">
        <v>0</v>
      </c>
      <c r="F256" s="219">
        <v>0</v>
      </c>
      <c r="G256" s="219">
        <v>0</v>
      </c>
      <c r="H256" s="219">
        <v>0</v>
      </c>
      <c r="I256" s="219">
        <v>0</v>
      </c>
      <c r="J256" s="219">
        <v>0</v>
      </c>
      <c r="K256" s="219">
        <v>0</v>
      </c>
      <c r="L256" s="253">
        <v>0</v>
      </c>
      <c r="M256" s="182">
        <f t="shared" si="122"/>
        <v>0</v>
      </c>
      <c r="N256" s="184">
        <f t="shared" si="123"/>
        <v>0</v>
      </c>
      <c r="O256" s="218">
        <v>0</v>
      </c>
      <c r="P256" s="219">
        <v>0</v>
      </c>
      <c r="Q256" s="219">
        <v>0</v>
      </c>
      <c r="R256" s="219">
        <v>0</v>
      </c>
      <c r="S256" s="219">
        <v>0</v>
      </c>
      <c r="T256" s="219">
        <v>0</v>
      </c>
      <c r="U256" s="219">
        <v>0</v>
      </c>
      <c r="V256" s="219">
        <v>0</v>
      </c>
      <c r="W256" s="219">
        <v>0</v>
      </c>
      <c r="X256" s="219">
        <v>0</v>
      </c>
      <c r="Y256" s="253">
        <v>0</v>
      </c>
      <c r="Z256" s="182">
        <f t="shared" si="124"/>
        <v>0</v>
      </c>
      <c r="AA256" s="184">
        <f t="shared" si="125"/>
        <v>0</v>
      </c>
      <c r="AB256" s="795">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796">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069">
        <f t="shared" si="126"/>
        <v>0</v>
      </c>
      <c r="AE256" s="784">
        <f t="shared" si="132"/>
        <v>0</v>
      </c>
      <c r="AF256" s="784">
        <f t="shared" si="133"/>
        <v>0</v>
      </c>
      <c r="AG256" s="784">
        <f t="shared" si="134"/>
        <v>0</v>
      </c>
      <c r="AH256" s="1015">
        <f t="shared" si="130"/>
        <v>0</v>
      </c>
      <c r="AI256" s="784">
        <f t="shared" si="131"/>
        <v>0</v>
      </c>
    </row>
    <row r="257" spans="1:35" x14ac:dyDescent="0.2">
      <c r="A257" s="201">
        <v>2031</v>
      </c>
      <c r="B257" s="214">
        <v>0</v>
      </c>
      <c r="C257" s="215">
        <v>0</v>
      </c>
      <c r="D257" s="215">
        <v>0</v>
      </c>
      <c r="E257" s="215">
        <v>0</v>
      </c>
      <c r="F257" s="215">
        <v>0</v>
      </c>
      <c r="G257" s="215">
        <v>0</v>
      </c>
      <c r="H257" s="215">
        <v>0</v>
      </c>
      <c r="I257" s="215">
        <v>0</v>
      </c>
      <c r="J257" s="215">
        <v>0</v>
      </c>
      <c r="K257" s="215">
        <v>0</v>
      </c>
      <c r="L257" s="251">
        <v>0</v>
      </c>
      <c r="M257" s="154">
        <f t="shared" si="122"/>
        <v>0</v>
      </c>
      <c r="N257" s="156">
        <f t="shared" si="123"/>
        <v>0</v>
      </c>
      <c r="O257" s="214">
        <v>0</v>
      </c>
      <c r="P257" s="215">
        <v>0</v>
      </c>
      <c r="Q257" s="215">
        <v>0</v>
      </c>
      <c r="R257" s="215">
        <v>0</v>
      </c>
      <c r="S257" s="215">
        <v>0</v>
      </c>
      <c r="T257" s="215">
        <v>0</v>
      </c>
      <c r="U257" s="215">
        <v>0</v>
      </c>
      <c r="V257" s="215">
        <v>0</v>
      </c>
      <c r="W257" s="215">
        <v>0</v>
      </c>
      <c r="X257" s="215">
        <v>0</v>
      </c>
      <c r="Y257" s="251">
        <v>0</v>
      </c>
      <c r="Z257" s="154">
        <f t="shared" si="124"/>
        <v>0</v>
      </c>
      <c r="AA257" s="156">
        <f t="shared" si="125"/>
        <v>0</v>
      </c>
      <c r="AB257" s="795">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796">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069">
        <f t="shared" si="126"/>
        <v>0</v>
      </c>
      <c r="AE257" s="784">
        <f t="shared" si="132"/>
        <v>0</v>
      </c>
      <c r="AF257" s="784">
        <f t="shared" si="133"/>
        <v>0</v>
      </c>
      <c r="AG257" s="784">
        <f t="shared" si="134"/>
        <v>0</v>
      </c>
      <c r="AH257" s="1015">
        <f t="shared" si="130"/>
        <v>0</v>
      </c>
      <c r="AI257" s="784">
        <f t="shared" si="131"/>
        <v>0</v>
      </c>
    </row>
    <row r="258" spans="1:35" x14ac:dyDescent="0.2">
      <c r="A258" s="202">
        <v>2032</v>
      </c>
      <c r="B258" s="216">
        <v>0</v>
      </c>
      <c r="C258" s="217">
        <v>0</v>
      </c>
      <c r="D258" s="217">
        <v>0</v>
      </c>
      <c r="E258" s="217">
        <v>0</v>
      </c>
      <c r="F258" s="217">
        <v>0</v>
      </c>
      <c r="G258" s="217">
        <v>0</v>
      </c>
      <c r="H258" s="217">
        <v>0</v>
      </c>
      <c r="I258" s="217">
        <v>0</v>
      </c>
      <c r="J258" s="217">
        <v>0</v>
      </c>
      <c r="K258" s="217">
        <v>0</v>
      </c>
      <c r="L258" s="252">
        <v>0</v>
      </c>
      <c r="M258" s="168">
        <f t="shared" si="122"/>
        <v>0</v>
      </c>
      <c r="N258" s="170">
        <f t="shared" si="123"/>
        <v>0</v>
      </c>
      <c r="O258" s="216">
        <v>0</v>
      </c>
      <c r="P258" s="217">
        <v>0</v>
      </c>
      <c r="Q258" s="217">
        <v>0</v>
      </c>
      <c r="R258" s="217">
        <v>0</v>
      </c>
      <c r="S258" s="217">
        <v>0</v>
      </c>
      <c r="T258" s="217">
        <v>0</v>
      </c>
      <c r="U258" s="217">
        <v>0</v>
      </c>
      <c r="V258" s="217">
        <v>0</v>
      </c>
      <c r="W258" s="217">
        <v>0</v>
      </c>
      <c r="X258" s="217">
        <v>0</v>
      </c>
      <c r="Y258" s="252">
        <v>0</v>
      </c>
      <c r="Z258" s="168">
        <f t="shared" si="124"/>
        <v>0</v>
      </c>
      <c r="AA258" s="170">
        <f t="shared" si="125"/>
        <v>0</v>
      </c>
      <c r="AB258" s="795">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796">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069">
        <f t="shared" si="126"/>
        <v>0</v>
      </c>
      <c r="AE258" s="784">
        <f t="shared" si="132"/>
        <v>0</v>
      </c>
      <c r="AF258" s="784">
        <f t="shared" si="133"/>
        <v>0</v>
      </c>
      <c r="AG258" s="784">
        <f t="shared" si="134"/>
        <v>0</v>
      </c>
      <c r="AH258" s="1015">
        <f t="shared" si="130"/>
        <v>0</v>
      </c>
      <c r="AI258" s="784">
        <f t="shared" si="131"/>
        <v>0</v>
      </c>
    </row>
    <row r="259" spans="1:35" x14ac:dyDescent="0.2">
      <c r="A259" s="202">
        <v>2033</v>
      </c>
      <c r="B259" s="216">
        <v>0</v>
      </c>
      <c r="C259" s="217">
        <v>0</v>
      </c>
      <c r="D259" s="217">
        <v>0</v>
      </c>
      <c r="E259" s="217">
        <v>0</v>
      </c>
      <c r="F259" s="217">
        <v>0</v>
      </c>
      <c r="G259" s="217">
        <v>0</v>
      </c>
      <c r="H259" s="217">
        <v>0</v>
      </c>
      <c r="I259" s="217">
        <v>0</v>
      </c>
      <c r="J259" s="217">
        <v>0</v>
      </c>
      <c r="K259" s="217">
        <v>0</v>
      </c>
      <c r="L259" s="252">
        <v>0</v>
      </c>
      <c r="M259" s="168">
        <f t="shared" si="122"/>
        <v>0</v>
      </c>
      <c r="N259" s="170">
        <f t="shared" si="123"/>
        <v>0</v>
      </c>
      <c r="O259" s="216">
        <v>0</v>
      </c>
      <c r="P259" s="217">
        <v>0</v>
      </c>
      <c r="Q259" s="217">
        <v>0</v>
      </c>
      <c r="R259" s="217">
        <v>0</v>
      </c>
      <c r="S259" s="217">
        <v>0</v>
      </c>
      <c r="T259" s="217">
        <v>0</v>
      </c>
      <c r="U259" s="217">
        <v>0</v>
      </c>
      <c r="V259" s="217">
        <v>0</v>
      </c>
      <c r="W259" s="217">
        <v>0</v>
      </c>
      <c r="X259" s="217">
        <v>0</v>
      </c>
      <c r="Y259" s="252">
        <v>0</v>
      </c>
      <c r="Z259" s="168">
        <f t="shared" si="124"/>
        <v>0</v>
      </c>
      <c r="AA259" s="170">
        <f t="shared" si="125"/>
        <v>0</v>
      </c>
      <c r="AB259" s="795">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796">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069">
        <f>AB259*AH259+AC259*AI259</f>
        <v>0</v>
      </c>
      <c r="AE259" s="784">
        <f t="shared" si="132"/>
        <v>0</v>
      </c>
      <c r="AF259" s="784">
        <f t="shared" si="133"/>
        <v>0</v>
      </c>
      <c r="AG259" s="784">
        <f t="shared" si="134"/>
        <v>0</v>
      </c>
      <c r="AH259" s="1015">
        <f t="shared" si="130"/>
        <v>0</v>
      </c>
      <c r="AI259" s="784">
        <f t="shared" si="131"/>
        <v>0</v>
      </c>
    </row>
    <row r="260" spans="1:35" x14ac:dyDescent="0.2">
      <c r="A260" s="202">
        <v>2034</v>
      </c>
      <c r="B260" s="216">
        <v>0</v>
      </c>
      <c r="C260" s="217">
        <v>0</v>
      </c>
      <c r="D260" s="217">
        <v>0</v>
      </c>
      <c r="E260" s="217">
        <v>0</v>
      </c>
      <c r="F260" s="217">
        <v>0</v>
      </c>
      <c r="G260" s="217">
        <v>0</v>
      </c>
      <c r="H260" s="217">
        <v>0</v>
      </c>
      <c r="I260" s="217">
        <v>0</v>
      </c>
      <c r="J260" s="217">
        <v>0</v>
      </c>
      <c r="K260" s="217">
        <v>0</v>
      </c>
      <c r="L260" s="252">
        <v>0</v>
      </c>
      <c r="M260" s="168">
        <f t="shared" si="122"/>
        <v>0</v>
      </c>
      <c r="N260" s="170">
        <f t="shared" si="123"/>
        <v>0</v>
      </c>
      <c r="O260" s="216">
        <v>0</v>
      </c>
      <c r="P260" s="217">
        <v>0</v>
      </c>
      <c r="Q260" s="217">
        <v>0</v>
      </c>
      <c r="R260" s="217">
        <v>0</v>
      </c>
      <c r="S260" s="217">
        <v>0</v>
      </c>
      <c r="T260" s="217">
        <v>0</v>
      </c>
      <c r="U260" s="217">
        <v>0</v>
      </c>
      <c r="V260" s="217">
        <v>0</v>
      </c>
      <c r="W260" s="217">
        <v>0</v>
      </c>
      <c r="X260" s="217">
        <v>0</v>
      </c>
      <c r="Y260" s="252">
        <v>0</v>
      </c>
      <c r="Z260" s="168">
        <f t="shared" si="124"/>
        <v>0</v>
      </c>
      <c r="AA260" s="170">
        <f t="shared" si="125"/>
        <v>0</v>
      </c>
      <c r="AB260" s="795">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796">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069">
        <f t="shared" ref="AD260:AD276" si="135">AB260*AH260+AC260*AI260</f>
        <v>0</v>
      </c>
      <c r="AE260" s="784">
        <f t="shared" si="132"/>
        <v>0</v>
      </c>
      <c r="AF260" s="784">
        <f t="shared" si="133"/>
        <v>0</v>
      </c>
      <c r="AG260" s="784">
        <f t="shared" si="134"/>
        <v>0</v>
      </c>
      <c r="AH260" s="1015">
        <f t="shared" si="130"/>
        <v>0</v>
      </c>
      <c r="AI260" s="784">
        <f t="shared" si="131"/>
        <v>0</v>
      </c>
    </row>
    <row r="261" spans="1:35" ht="13.5" thickBot="1" x14ac:dyDescent="0.25">
      <c r="A261" s="200">
        <v>2035</v>
      </c>
      <c r="B261" s="218">
        <v>0</v>
      </c>
      <c r="C261" s="219">
        <v>0</v>
      </c>
      <c r="D261" s="219">
        <v>0</v>
      </c>
      <c r="E261" s="219">
        <v>0</v>
      </c>
      <c r="F261" s="219">
        <v>0</v>
      </c>
      <c r="G261" s="219">
        <v>0</v>
      </c>
      <c r="H261" s="219">
        <v>0</v>
      </c>
      <c r="I261" s="219">
        <v>0</v>
      </c>
      <c r="J261" s="219">
        <v>0</v>
      </c>
      <c r="K261" s="219">
        <v>0</v>
      </c>
      <c r="L261" s="253">
        <v>0</v>
      </c>
      <c r="M261" s="182">
        <f t="shared" si="122"/>
        <v>0</v>
      </c>
      <c r="N261" s="184">
        <f t="shared" si="123"/>
        <v>0</v>
      </c>
      <c r="O261" s="218">
        <v>0</v>
      </c>
      <c r="P261" s="219">
        <v>0</v>
      </c>
      <c r="Q261" s="219">
        <v>0</v>
      </c>
      <c r="R261" s="219">
        <v>0</v>
      </c>
      <c r="S261" s="219">
        <v>0</v>
      </c>
      <c r="T261" s="219">
        <v>0</v>
      </c>
      <c r="U261" s="219">
        <v>0</v>
      </c>
      <c r="V261" s="219">
        <v>0</v>
      </c>
      <c r="W261" s="219">
        <v>0</v>
      </c>
      <c r="X261" s="219">
        <v>0</v>
      </c>
      <c r="Y261" s="253">
        <v>0</v>
      </c>
      <c r="Z261" s="182">
        <f t="shared" si="124"/>
        <v>0</v>
      </c>
      <c r="AA261" s="184">
        <f t="shared" si="125"/>
        <v>0</v>
      </c>
      <c r="AB261" s="795">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796">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069">
        <f t="shared" si="135"/>
        <v>0</v>
      </c>
      <c r="AE261" s="784">
        <f t="shared" si="132"/>
        <v>0</v>
      </c>
      <c r="AF261" s="784">
        <f t="shared" si="133"/>
        <v>0</v>
      </c>
      <c r="AG261" s="784">
        <f t="shared" si="134"/>
        <v>0</v>
      </c>
      <c r="AH261" s="1015">
        <f t="shared" si="130"/>
        <v>0</v>
      </c>
      <c r="AI261" s="784">
        <f t="shared" si="131"/>
        <v>0</v>
      </c>
    </row>
    <row r="262" spans="1:35" x14ac:dyDescent="0.2">
      <c r="A262" s="201">
        <v>2036</v>
      </c>
      <c r="B262" s="214">
        <v>0</v>
      </c>
      <c r="C262" s="215">
        <v>0</v>
      </c>
      <c r="D262" s="215">
        <v>0</v>
      </c>
      <c r="E262" s="215">
        <v>0</v>
      </c>
      <c r="F262" s="215">
        <v>0</v>
      </c>
      <c r="G262" s="215">
        <v>0</v>
      </c>
      <c r="H262" s="215">
        <v>0</v>
      </c>
      <c r="I262" s="215">
        <v>0</v>
      </c>
      <c r="J262" s="215">
        <v>0</v>
      </c>
      <c r="K262" s="215">
        <v>0</v>
      </c>
      <c r="L262" s="251">
        <v>0</v>
      </c>
      <c r="M262" s="154">
        <f t="shared" si="122"/>
        <v>0</v>
      </c>
      <c r="N262" s="156">
        <f t="shared" si="123"/>
        <v>0</v>
      </c>
      <c r="O262" s="214">
        <v>0</v>
      </c>
      <c r="P262" s="215">
        <v>0</v>
      </c>
      <c r="Q262" s="215">
        <v>0</v>
      </c>
      <c r="R262" s="215">
        <v>0</v>
      </c>
      <c r="S262" s="215">
        <v>0</v>
      </c>
      <c r="T262" s="215">
        <v>0</v>
      </c>
      <c r="U262" s="215">
        <v>0</v>
      </c>
      <c r="V262" s="215">
        <v>0</v>
      </c>
      <c r="W262" s="215">
        <v>0</v>
      </c>
      <c r="X262" s="215">
        <v>0</v>
      </c>
      <c r="Y262" s="251">
        <v>0</v>
      </c>
      <c r="Z262" s="154">
        <f t="shared" si="124"/>
        <v>0</v>
      </c>
      <c r="AA262" s="156">
        <f t="shared" si="125"/>
        <v>0</v>
      </c>
      <c r="AB262" s="795">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796">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069">
        <f t="shared" si="135"/>
        <v>0</v>
      </c>
      <c r="AE262" s="784">
        <f t="shared" si="132"/>
        <v>0</v>
      </c>
      <c r="AF262" s="784">
        <f t="shared" si="133"/>
        <v>0</v>
      </c>
      <c r="AG262" s="784">
        <f t="shared" si="134"/>
        <v>0</v>
      </c>
      <c r="AH262" s="1015">
        <f t="shared" si="130"/>
        <v>0</v>
      </c>
      <c r="AI262" s="784">
        <f t="shared" si="131"/>
        <v>0</v>
      </c>
    </row>
    <row r="263" spans="1:35" x14ac:dyDescent="0.2">
      <c r="A263" s="202">
        <v>2037</v>
      </c>
      <c r="B263" s="216">
        <v>0</v>
      </c>
      <c r="C263" s="217">
        <v>0</v>
      </c>
      <c r="D263" s="217">
        <v>0</v>
      </c>
      <c r="E263" s="217">
        <v>0</v>
      </c>
      <c r="F263" s="217">
        <v>0</v>
      </c>
      <c r="G263" s="217">
        <v>0</v>
      </c>
      <c r="H263" s="217">
        <v>0</v>
      </c>
      <c r="I263" s="217">
        <v>0</v>
      </c>
      <c r="J263" s="217">
        <v>0</v>
      </c>
      <c r="K263" s="217">
        <v>0</v>
      </c>
      <c r="L263" s="252">
        <v>0</v>
      </c>
      <c r="M263" s="168">
        <f t="shared" si="122"/>
        <v>0</v>
      </c>
      <c r="N263" s="170">
        <f t="shared" si="123"/>
        <v>0</v>
      </c>
      <c r="O263" s="216">
        <v>0</v>
      </c>
      <c r="P263" s="217">
        <v>0</v>
      </c>
      <c r="Q263" s="217">
        <v>0</v>
      </c>
      <c r="R263" s="217">
        <v>0</v>
      </c>
      <c r="S263" s="217">
        <v>0</v>
      </c>
      <c r="T263" s="217">
        <v>0</v>
      </c>
      <c r="U263" s="217">
        <v>0</v>
      </c>
      <c r="V263" s="217">
        <v>0</v>
      </c>
      <c r="W263" s="217">
        <v>0</v>
      </c>
      <c r="X263" s="217">
        <v>0</v>
      </c>
      <c r="Y263" s="252">
        <v>0</v>
      </c>
      <c r="Z263" s="168">
        <f t="shared" si="124"/>
        <v>0</v>
      </c>
      <c r="AA263" s="170">
        <f t="shared" si="125"/>
        <v>0</v>
      </c>
      <c r="AB263" s="795">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796">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069">
        <f t="shared" si="135"/>
        <v>0</v>
      </c>
      <c r="AE263" s="784">
        <f t="shared" si="132"/>
        <v>0</v>
      </c>
      <c r="AF263" s="784">
        <f t="shared" si="133"/>
        <v>0</v>
      </c>
      <c r="AG263" s="784">
        <f t="shared" si="134"/>
        <v>0</v>
      </c>
      <c r="AH263" s="1015">
        <f t="shared" si="130"/>
        <v>0</v>
      </c>
      <c r="AI263" s="784">
        <f t="shared" si="131"/>
        <v>0</v>
      </c>
    </row>
    <row r="264" spans="1:35" x14ac:dyDescent="0.2">
      <c r="A264" s="202">
        <v>2038</v>
      </c>
      <c r="B264" s="216">
        <v>0</v>
      </c>
      <c r="C264" s="217">
        <v>0</v>
      </c>
      <c r="D264" s="217">
        <v>0</v>
      </c>
      <c r="E264" s="217">
        <v>0</v>
      </c>
      <c r="F264" s="217">
        <v>0</v>
      </c>
      <c r="G264" s="217">
        <v>0</v>
      </c>
      <c r="H264" s="217">
        <v>0</v>
      </c>
      <c r="I264" s="217">
        <v>0</v>
      </c>
      <c r="J264" s="217">
        <v>0</v>
      </c>
      <c r="K264" s="217">
        <v>0</v>
      </c>
      <c r="L264" s="252">
        <v>0</v>
      </c>
      <c r="M264" s="168">
        <f t="shared" si="122"/>
        <v>0</v>
      </c>
      <c r="N264" s="170">
        <f t="shared" si="123"/>
        <v>0</v>
      </c>
      <c r="O264" s="216">
        <v>0</v>
      </c>
      <c r="P264" s="217">
        <v>0</v>
      </c>
      <c r="Q264" s="217">
        <v>0</v>
      </c>
      <c r="R264" s="217">
        <v>0</v>
      </c>
      <c r="S264" s="217">
        <v>0</v>
      </c>
      <c r="T264" s="217">
        <v>0</v>
      </c>
      <c r="U264" s="217">
        <v>0</v>
      </c>
      <c r="V264" s="217">
        <v>0</v>
      </c>
      <c r="W264" s="217">
        <v>0</v>
      </c>
      <c r="X264" s="217">
        <v>0</v>
      </c>
      <c r="Y264" s="252">
        <v>0</v>
      </c>
      <c r="Z264" s="168">
        <f t="shared" si="124"/>
        <v>0</v>
      </c>
      <c r="AA264" s="170">
        <f t="shared" si="125"/>
        <v>0</v>
      </c>
      <c r="AB264" s="795">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796">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069">
        <f t="shared" si="135"/>
        <v>0</v>
      </c>
      <c r="AE264" s="784">
        <f t="shared" si="132"/>
        <v>0</v>
      </c>
      <c r="AF264" s="784">
        <f t="shared" si="133"/>
        <v>0</v>
      </c>
      <c r="AG264" s="784">
        <f t="shared" si="134"/>
        <v>0</v>
      </c>
      <c r="AH264" s="1015">
        <f t="shared" si="130"/>
        <v>0</v>
      </c>
      <c r="AI264" s="784">
        <f t="shared" si="131"/>
        <v>0</v>
      </c>
    </row>
    <row r="265" spans="1:35" x14ac:dyDescent="0.2">
      <c r="A265" s="202">
        <v>2039</v>
      </c>
      <c r="B265" s="216">
        <v>0</v>
      </c>
      <c r="C265" s="217">
        <v>0</v>
      </c>
      <c r="D265" s="217">
        <v>0</v>
      </c>
      <c r="E265" s="217">
        <v>0</v>
      </c>
      <c r="F265" s="217">
        <v>0</v>
      </c>
      <c r="G265" s="217">
        <v>0</v>
      </c>
      <c r="H265" s="217">
        <v>0</v>
      </c>
      <c r="I265" s="217">
        <v>0</v>
      </c>
      <c r="J265" s="217">
        <v>0</v>
      </c>
      <c r="K265" s="217">
        <v>0</v>
      </c>
      <c r="L265" s="252">
        <v>0</v>
      </c>
      <c r="M265" s="168">
        <f t="shared" si="122"/>
        <v>0</v>
      </c>
      <c r="N265" s="170">
        <f t="shared" si="123"/>
        <v>0</v>
      </c>
      <c r="O265" s="216">
        <v>0</v>
      </c>
      <c r="P265" s="217">
        <v>0</v>
      </c>
      <c r="Q265" s="217">
        <v>0</v>
      </c>
      <c r="R265" s="217">
        <v>0</v>
      </c>
      <c r="S265" s="217">
        <v>0</v>
      </c>
      <c r="T265" s="217">
        <v>0</v>
      </c>
      <c r="U265" s="217">
        <v>0</v>
      </c>
      <c r="V265" s="217">
        <v>0</v>
      </c>
      <c r="W265" s="217">
        <v>0</v>
      </c>
      <c r="X265" s="217">
        <v>0</v>
      </c>
      <c r="Y265" s="252">
        <v>0</v>
      </c>
      <c r="Z265" s="168">
        <f t="shared" si="124"/>
        <v>0</v>
      </c>
      <c r="AA265" s="170">
        <f t="shared" si="125"/>
        <v>0</v>
      </c>
      <c r="AB265" s="795">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796">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069">
        <f t="shared" si="135"/>
        <v>0</v>
      </c>
      <c r="AE265" s="784">
        <f t="shared" si="132"/>
        <v>0</v>
      </c>
      <c r="AF265" s="784">
        <f t="shared" si="133"/>
        <v>0</v>
      </c>
      <c r="AG265" s="784">
        <f t="shared" si="134"/>
        <v>0</v>
      </c>
      <c r="AH265" s="1015">
        <f t="shared" si="130"/>
        <v>0</v>
      </c>
      <c r="AI265" s="784">
        <f t="shared" si="131"/>
        <v>0</v>
      </c>
    </row>
    <row r="266" spans="1:35" ht="13.5" thickBot="1" x14ac:dyDescent="0.25">
      <c r="A266" s="200">
        <v>2040</v>
      </c>
      <c r="B266" s="218">
        <v>0</v>
      </c>
      <c r="C266" s="219">
        <v>0</v>
      </c>
      <c r="D266" s="219">
        <v>0</v>
      </c>
      <c r="E266" s="219">
        <v>0</v>
      </c>
      <c r="F266" s="219">
        <v>0</v>
      </c>
      <c r="G266" s="219">
        <v>0</v>
      </c>
      <c r="H266" s="219">
        <v>0</v>
      </c>
      <c r="I266" s="219">
        <v>0</v>
      </c>
      <c r="J266" s="219">
        <v>0</v>
      </c>
      <c r="K266" s="219">
        <v>0</v>
      </c>
      <c r="L266" s="253">
        <v>0</v>
      </c>
      <c r="M266" s="182">
        <f t="shared" si="122"/>
        <v>0</v>
      </c>
      <c r="N266" s="184">
        <f t="shared" si="123"/>
        <v>0</v>
      </c>
      <c r="O266" s="218">
        <v>0</v>
      </c>
      <c r="P266" s="219">
        <v>0</v>
      </c>
      <c r="Q266" s="219">
        <v>0</v>
      </c>
      <c r="R266" s="219">
        <v>0</v>
      </c>
      <c r="S266" s="219">
        <v>0</v>
      </c>
      <c r="T266" s="219">
        <v>0</v>
      </c>
      <c r="U266" s="219">
        <v>0</v>
      </c>
      <c r="V266" s="219">
        <v>0</v>
      </c>
      <c r="W266" s="219">
        <v>0</v>
      </c>
      <c r="X266" s="219">
        <v>0</v>
      </c>
      <c r="Y266" s="253">
        <v>0</v>
      </c>
      <c r="Z266" s="182">
        <f t="shared" si="124"/>
        <v>0</v>
      </c>
      <c r="AA266" s="184">
        <f t="shared" si="125"/>
        <v>0</v>
      </c>
      <c r="AB266" s="795">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796">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069">
        <f t="shared" si="135"/>
        <v>0</v>
      </c>
      <c r="AE266" s="784">
        <f t="shared" si="132"/>
        <v>0</v>
      </c>
      <c r="AF266" s="784">
        <f t="shared" si="133"/>
        <v>0</v>
      </c>
      <c r="AG266" s="784">
        <f t="shared" si="134"/>
        <v>0</v>
      </c>
      <c r="AH266" s="1015">
        <f t="shared" si="130"/>
        <v>0</v>
      </c>
      <c r="AI266" s="784">
        <f t="shared" si="131"/>
        <v>0</v>
      </c>
    </row>
    <row r="267" spans="1:35" x14ac:dyDescent="0.2">
      <c r="A267" s="201">
        <v>2041</v>
      </c>
      <c r="B267" s="214">
        <v>0</v>
      </c>
      <c r="C267" s="215">
        <v>0</v>
      </c>
      <c r="D267" s="215">
        <v>0</v>
      </c>
      <c r="E267" s="215">
        <v>0</v>
      </c>
      <c r="F267" s="215">
        <v>0</v>
      </c>
      <c r="G267" s="215">
        <v>0</v>
      </c>
      <c r="H267" s="215">
        <v>0</v>
      </c>
      <c r="I267" s="215">
        <v>0</v>
      </c>
      <c r="J267" s="215">
        <v>0</v>
      </c>
      <c r="K267" s="215">
        <v>0</v>
      </c>
      <c r="L267" s="251">
        <v>0</v>
      </c>
      <c r="M267" s="154">
        <f t="shared" si="122"/>
        <v>0</v>
      </c>
      <c r="N267" s="156">
        <f t="shared" si="123"/>
        <v>0</v>
      </c>
      <c r="O267" s="214">
        <v>0</v>
      </c>
      <c r="P267" s="215">
        <v>0</v>
      </c>
      <c r="Q267" s="215">
        <v>0</v>
      </c>
      <c r="R267" s="215">
        <v>0</v>
      </c>
      <c r="S267" s="215">
        <v>0</v>
      </c>
      <c r="T267" s="215">
        <v>0</v>
      </c>
      <c r="U267" s="215">
        <v>0</v>
      </c>
      <c r="V267" s="215">
        <v>0</v>
      </c>
      <c r="W267" s="215">
        <v>0</v>
      </c>
      <c r="X267" s="215">
        <v>0</v>
      </c>
      <c r="Y267" s="251">
        <v>0</v>
      </c>
      <c r="Z267" s="154">
        <f t="shared" si="124"/>
        <v>0</v>
      </c>
      <c r="AA267" s="156">
        <f t="shared" si="125"/>
        <v>0</v>
      </c>
      <c r="AB267" s="795">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796">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069">
        <f t="shared" si="135"/>
        <v>0</v>
      </c>
      <c r="AE267" s="784">
        <f t="shared" si="132"/>
        <v>0</v>
      </c>
      <c r="AF267" s="784">
        <f t="shared" si="133"/>
        <v>0</v>
      </c>
      <c r="AG267" s="784">
        <f t="shared" si="134"/>
        <v>0</v>
      </c>
      <c r="AH267" s="1015">
        <f t="shared" si="130"/>
        <v>0</v>
      </c>
      <c r="AI267" s="784">
        <f t="shared" si="131"/>
        <v>0</v>
      </c>
    </row>
    <row r="268" spans="1:35" x14ac:dyDescent="0.2">
      <c r="A268" s="202">
        <v>2042</v>
      </c>
      <c r="B268" s="216">
        <v>0</v>
      </c>
      <c r="C268" s="217">
        <v>0</v>
      </c>
      <c r="D268" s="217">
        <v>0</v>
      </c>
      <c r="E268" s="217">
        <v>0</v>
      </c>
      <c r="F268" s="217">
        <v>0</v>
      </c>
      <c r="G268" s="217">
        <v>0</v>
      </c>
      <c r="H268" s="217">
        <v>0</v>
      </c>
      <c r="I268" s="217">
        <v>0</v>
      </c>
      <c r="J268" s="217">
        <v>0</v>
      </c>
      <c r="K268" s="217">
        <v>0</v>
      </c>
      <c r="L268" s="252">
        <v>0</v>
      </c>
      <c r="M268" s="168">
        <f t="shared" si="122"/>
        <v>0</v>
      </c>
      <c r="N268" s="170">
        <f t="shared" si="123"/>
        <v>0</v>
      </c>
      <c r="O268" s="216">
        <v>0</v>
      </c>
      <c r="P268" s="217">
        <v>0</v>
      </c>
      <c r="Q268" s="217">
        <v>0</v>
      </c>
      <c r="R268" s="217">
        <v>0</v>
      </c>
      <c r="S268" s="217">
        <v>0</v>
      </c>
      <c r="T268" s="217">
        <v>0</v>
      </c>
      <c r="U268" s="217">
        <v>0</v>
      </c>
      <c r="V268" s="217">
        <v>0</v>
      </c>
      <c r="W268" s="217">
        <v>0</v>
      </c>
      <c r="X268" s="217">
        <v>0</v>
      </c>
      <c r="Y268" s="252">
        <v>7.0390163662869566E-4</v>
      </c>
      <c r="Z268" s="168">
        <f t="shared" si="124"/>
        <v>3.5709658016333634E-5</v>
      </c>
      <c r="AA268" s="170">
        <f t="shared" si="125"/>
        <v>1.8216543184403909E-5</v>
      </c>
      <c r="AB268" s="795">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796">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069">
        <f t="shared" si="135"/>
        <v>0</v>
      </c>
      <c r="AE268" s="784">
        <f t="shared" si="132"/>
        <v>0</v>
      </c>
      <c r="AF268" s="784">
        <f t="shared" si="133"/>
        <v>3.5709658016333634E-5</v>
      </c>
      <c r="AG268" s="784">
        <f t="shared" si="134"/>
        <v>3.5709658016333634E-5</v>
      </c>
      <c r="AH268" s="1015">
        <f t="shared" si="130"/>
        <v>0</v>
      </c>
      <c r="AI268" s="784">
        <f t="shared" si="131"/>
        <v>1</v>
      </c>
    </row>
    <row r="269" spans="1:35" x14ac:dyDescent="0.2">
      <c r="A269" s="202">
        <v>2043</v>
      </c>
      <c r="B269" s="216">
        <v>0</v>
      </c>
      <c r="C269" s="217">
        <v>0</v>
      </c>
      <c r="D269" s="217">
        <v>0</v>
      </c>
      <c r="E269" s="217">
        <v>0</v>
      </c>
      <c r="F269" s="217">
        <v>0</v>
      </c>
      <c r="G269" s="217">
        <v>0</v>
      </c>
      <c r="H269" s="217">
        <v>0</v>
      </c>
      <c r="I269" s="217">
        <v>7.3105827124296774E-5</v>
      </c>
      <c r="J269" s="217">
        <v>9.1339130284806395E-4</v>
      </c>
      <c r="K269" s="217">
        <v>3.7406843897404771E-3</v>
      </c>
      <c r="L269" s="252">
        <v>2.5884687801542627E-2</v>
      </c>
      <c r="M269" s="168">
        <f t="shared" si="122"/>
        <v>4.4862279226401636E-4</v>
      </c>
      <c r="N269" s="170">
        <f t="shared" si="123"/>
        <v>2.1706712492068798E-4</v>
      </c>
      <c r="O269" s="216">
        <v>0</v>
      </c>
      <c r="P269" s="217">
        <v>0</v>
      </c>
      <c r="Q269" s="217">
        <v>0</v>
      </c>
      <c r="R269" s="217">
        <v>0</v>
      </c>
      <c r="S269" s="217">
        <v>0</v>
      </c>
      <c r="T269" s="217">
        <v>0</v>
      </c>
      <c r="U269" s="217">
        <v>6.5510113153909131E-4</v>
      </c>
      <c r="V269" s="217">
        <v>5.0145530340927058E-3</v>
      </c>
      <c r="W269" s="217">
        <v>1.4572091714955228E-2</v>
      </c>
      <c r="X269" s="217">
        <v>2.9292776666402676E-2</v>
      </c>
      <c r="Y269" s="252">
        <v>6.3767595998056273E-2</v>
      </c>
      <c r="Z269" s="168">
        <f t="shared" si="124"/>
        <v>5.3273233638766199E-3</v>
      </c>
      <c r="AA269" s="170">
        <f t="shared" si="125"/>
        <v>3.0699162725755921E-3</v>
      </c>
      <c r="AB269" s="795">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796">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069">
        <f t="shared" si="135"/>
        <v>0</v>
      </c>
      <c r="AE269" s="784">
        <f t="shared" si="132"/>
        <v>4.4862279226401636E-4</v>
      </c>
      <c r="AF269" s="784">
        <f t="shared" si="133"/>
        <v>5.3273233638766199E-3</v>
      </c>
      <c r="AG269" s="784">
        <f t="shared" si="134"/>
        <v>5.7759461561406366E-3</v>
      </c>
      <c r="AH269" s="1015">
        <f t="shared" si="130"/>
        <v>7.7670875062965702E-2</v>
      </c>
      <c r="AI269" s="784">
        <f t="shared" si="131"/>
        <v>0.92232912493703423</v>
      </c>
    </row>
    <row r="270" spans="1:35" x14ac:dyDescent="0.2">
      <c r="A270" s="202">
        <v>2044</v>
      </c>
      <c r="B270" s="216">
        <v>0</v>
      </c>
      <c r="C270" s="217">
        <v>0</v>
      </c>
      <c r="D270" s="217">
        <v>0</v>
      </c>
      <c r="E270" s="217">
        <v>0</v>
      </c>
      <c r="F270" s="217">
        <v>7.9540936937613175E-5</v>
      </c>
      <c r="G270" s="217">
        <v>2.2185855978958642E-3</v>
      </c>
      <c r="H270" s="217">
        <v>9.4108794091356685E-3</v>
      </c>
      <c r="I270" s="217">
        <v>2.8176034923614392E-2</v>
      </c>
      <c r="J270" s="217">
        <v>5.6930929893896573E-2</v>
      </c>
      <c r="K270" s="217">
        <v>8.642117831254216E-2</v>
      </c>
      <c r="L270" s="252">
        <v>0.14241670736424897</v>
      </c>
      <c r="M270" s="168">
        <f t="shared" si="122"/>
        <v>5.1618396747241538E-3</v>
      </c>
      <c r="N270" s="170">
        <f t="shared" si="123"/>
        <v>3.2485459807862845E-3</v>
      </c>
      <c r="O270" s="216">
        <v>0</v>
      </c>
      <c r="P270" s="217">
        <v>0</v>
      </c>
      <c r="Q270" s="217">
        <v>0</v>
      </c>
      <c r="R270" s="217">
        <v>0</v>
      </c>
      <c r="S270" s="217">
        <v>2.5948437312535962E-3</v>
      </c>
      <c r="T270" s="217">
        <v>1.7859472317554765E-2</v>
      </c>
      <c r="U270" s="217">
        <v>3.9154299016084838E-2</v>
      </c>
      <c r="V270" s="217">
        <v>7.4873515675382765E-2</v>
      </c>
      <c r="W270" s="217">
        <v>0.10114026220649826</v>
      </c>
      <c r="X270" s="217">
        <v>0.13038884483769542</v>
      </c>
      <c r="Y270" s="252">
        <v>0.16728787633253239</v>
      </c>
      <c r="Z270" s="168">
        <f t="shared" si="124"/>
        <v>3.5977740082883805E-2</v>
      </c>
      <c r="AA270" s="170">
        <f t="shared" si="125"/>
        <v>2.6527601843094308E-2</v>
      </c>
      <c r="AB270" s="795">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796">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069">
        <f t="shared" si="135"/>
        <v>0</v>
      </c>
      <c r="AE270" s="784">
        <f t="shared" si="132"/>
        <v>5.1618396747241538E-3</v>
      </c>
      <c r="AF270" s="784">
        <f t="shared" si="133"/>
        <v>3.5977740082883805E-2</v>
      </c>
      <c r="AG270" s="784">
        <f t="shared" si="134"/>
        <v>4.1139579757607958E-2</v>
      </c>
      <c r="AH270" s="1015">
        <f t="shared" si="130"/>
        <v>0.12547137586570931</v>
      </c>
      <c r="AI270" s="784">
        <f t="shared" si="131"/>
        <v>0.87452862413429078</v>
      </c>
    </row>
    <row r="271" spans="1:35" ht="13.5" thickBot="1" x14ac:dyDescent="0.25">
      <c r="A271" s="200">
        <v>2045</v>
      </c>
      <c r="B271" s="218">
        <v>0</v>
      </c>
      <c r="C271" s="219">
        <v>0</v>
      </c>
      <c r="D271" s="219">
        <v>0</v>
      </c>
      <c r="E271" s="219">
        <v>1.4649147844185072E-3</v>
      </c>
      <c r="F271" s="219">
        <v>1.4703004748196542E-2</v>
      </c>
      <c r="G271" s="219">
        <v>4.9936588085584196E-2</v>
      </c>
      <c r="H271" s="219">
        <v>8.4031892805934455E-2</v>
      </c>
      <c r="I271" s="219">
        <v>0.12769167012367025</v>
      </c>
      <c r="J271" s="219">
        <v>0.15742382089553633</v>
      </c>
      <c r="K271" s="219">
        <v>0.1795632256098178</v>
      </c>
      <c r="L271" s="253">
        <v>0.2102457016181819</v>
      </c>
      <c r="M271" s="182">
        <f t="shared" si="122"/>
        <v>1.8765008460842322E-2</v>
      </c>
      <c r="N271" s="184">
        <f t="shared" si="123"/>
        <v>1.4536505375854858E-2</v>
      </c>
      <c r="O271" s="218">
        <v>0</v>
      </c>
      <c r="P271" s="219">
        <v>0</v>
      </c>
      <c r="Q271" s="219">
        <v>1.5336246512189555E-4</v>
      </c>
      <c r="R271" s="219">
        <v>8.853224801071093E-3</v>
      </c>
      <c r="S271" s="219">
        <v>4.5447198142448977E-2</v>
      </c>
      <c r="T271" s="219">
        <v>9.1137882474423906E-2</v>
      </c>
      <c r="U271" s="219">
        <v>0.12674484069275496</v>
      </c>
      <c r="V271" s="219">
        <v>0.16706456552914487</v>
      </c>
      <c r="W271" s="219">
        <v>0.18916861075688396</v>
      </c>
      <c r="X271" s="219">
        <v>0.20126583608370274</v>
      </c>
      <c r="Y271" s="253">
        <v>0.21723244535902228</v>
      </c>
      <c r="Z271" s="182">
        <f t="shared" si="124"/>
        <v>9.0456217608310158E-2</v>
      </c>
      <c r="AA271" s="184">
        <f t="shared" si="125"/>
        <v>7.5034700382170583E-2</v>
      </c>
      <c r="AB271" s="795">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796">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069">
        <f t="shared" si="135"/>
        <v>0</v>
      </c>
      <c r="AE271" s="784">
        <f t="shared" si="132"/>
        <v>1.8765008460842322E-2</v>
      </c>
      <c r="AF271" s="784">
        <f t="shared" si="133"/>
        <v>9.0456217608310158E-2</v>
      </c>
      <c r="AG271" s="784">
        <f t="shared" si="134"/>
        <v>0.10922122606915248</v>
      </c>
      <c r="AH271" s="1015">
        <f t="shared" si="130"/>
        <v>0.17180734126681035</v>
      </c>
      <c r="AI271" s="784">
        <f t="shared" si="131"/>
        <v>0.8281926587331897</v>
      </c>
    </row>
    <row r="272" spans="1:35" x14ac:dyDescent="0.2">
      <c r="A272" s="201">
        <v>2046</v>
      </c>
      <c r="B272" s="214">
        <v>0</v>
      </c>
      <c r="C272" s="215">
        <v>0</v>
      </c>
      <c r="D272" s="215">
        <v>3.3469958531798976E-4</v>
      </c>
      <c r="E272" s="215">
        <v>1.9441266816688122E-2</v>
      </c>
      <c r="F272" s="215">
        <v>6.6309476310649706E-2</v>
      </c>
      <c r="G272" s="215">
        <v>0.11202302154452089</v>
      </c>
      <c r="H272" s="215">
        <v>0.14786199933739974</v>
      </c>
      <c r="I272" s="215">
        <v>0.18360174550453412</v>
      </c>
      <c r="J272" s="215">
        <v>0.20231364156971163</v>
      </c>
      <c r="K272" s="215">
        <v>0.21416205294827226</v>
      </c>
      <c r="L272" s="251">
        <v>0.23314152520523404</v>
      </c>
      <c r="M272" s="154">
        <f t="shared" si="122"/>
        <v>3.0395748048678194E-2</v>
      </c>
      <c r="N272" s="156">
        <f t="shared" si="123"/>
        <v>2.552250822499463E-2</v>
      </c>
      <c r="O272" s="214">
        <v>0</v>
      </c>
      <c r="P272" s="215">
        <v>0</v>
      </c>
      <c r="Q272" s="215">
        <v>5.3024055173652839E-3</v>
      </c>
      <c r="R272" s="215">
        <v>4.2127630424061341E-2</v>
      </c>
      <c r="S272" s="215">
        <v>0.10638215155334579</v>
      </c>
      <c r="T272" s="215">
        <v>0.14814011920826545</v>
      </c>
      <c r="U272" s="215">
        <v>0.1751045484038172</v>
      </c>
      <c r="V272" s="215">
        <v>0.20389767560911021</v>
      </c>
      <c r="W272" s="215">
        <v>0.21583930111560864</v>
      </c>
      <c r="X272" s="215">
        <v>0.2245032173989788</v>
      </c>
      <c r="Y272" s="251">
        <v>0.23846139563480584</v>
      </c>
      <c r="Z272" s="154">
        <f t="shared" si="124"/>
        <v>0.12486915598028996</v>
      </c>
      <c r="AA272" s="156">
        <f t="shared" si="125"/>
        <v>0.10853551445899176</v>
      </c>
      <c r="AB272" s="795">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796">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069">
        <f t="shared" si="135"/>
        <v>0</v>
      </c>
      <c r="AE272" s="784">
        <f t="shared" si="132"/>
        <v>3.0395748048678194E-2</v>
      </c>
      <c r="AF272" s="784">
        <f t="shared" si="133"/>
        <v>0.12486915598028996</v>
      </c>
      <c r="AG272" s="784">
        <f t="shared" si="134"/>
        <v>0.15526490402896814</v>
      </c>
      <c r="AH272" s="1015">
        <f t="shared" si="130"/>
        <v>0.19576702306792518</v>
      </c>
      <c r="AI272" s="784">
        <f t="shared" si="131"/>
        <v>0.80423297693207485</v>
      </c>
    </row>
    <row r="273" spans="1:43" x14ac:dyDescent="0.2">
      <c r="A273" s="202">
        <v>2047</v>
      </c>
      <c r="B273" s="216">
        <v>0</v>
      </c>
      <c r="C273" s="217">
        <v>0</v>
      </c>
      <c r="D273" s="217">
        <v>6.1540460174994991E-3</v>
      </c>
      <c r="E273" s="217">
        <v>6.2192312089686355E-2</v>
      </c>
      <c r="F273" s="217">
        <v>0.11814384756291771</v>
      </c>
      <c r="G273" s="217">
        <v>0.1591606536696642</v>
      </c>
      <c r="H273" s="217">
        <v>0.17547661627079092</v>
      </c>
      <c r="I273" s="217">
        <v>0.21831313068831251</v>
      </c>
      <c r="J273" s="217">
        <v>0.22682904773301862</v>
      </c>
      <c r="K273" s="217">
        <v>0.23538702291966032</v>
      </c>
      <c r="L273" s="252">
        <v>0.24463948964438148</v>
      </c>
      <c r="M273" s="168">
        <f t="shared" si="122"/>
        <v>3.8173183289910019E-2</v>
      </c>
      <c r="N273" s="170">
        <f t="shared" si="123"/>
        <v>3.3590904388536333E-2</v>
      </c>
      <c r="O273" s="216">
        <v>0</v>
      </c>
      <c r="P273" s="217">
        <v>0</v>
      </c>
      <c r="Q273" s="217">
        <v>2.835985148802362E-2</v>
      </c>
      <c r="R273" s="217">
        <v>9.3011017601451376E-2</v>
      </c>
      <c r="S273" s="217">
        <v>0.14714770039208797</v>
      </c>
      <c r="T273" s="217">
        <v>0.17828584861553476</v>
      </c>
      <c r="U273" s="217">
        <v>0.19185244273076021</v>
      </c>
      <c r="V273" s="217">
        <v>0.22863775651775431</v>
      </c>
      <c r="W273" s="217">
        <v>0.23718668287736583</v>
      </c>
      <c r="X273" s="217">
        <v>0.23896882649466197</v>
      </c>
      <c r="Y273" s="252">
        <v>0.24463948964438148</v>
      </c>
      <c r="Z273" s="168">
        <f t="shared" si="124"/>
        <v>0.1436724274119911</v>
      </c>
      <c r="AA273" s="170">
        <f t="shared" si="125"/>
        <v>0.12815084865987106</v>
      </c>
      <c r="AB273" s="795">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796">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069">
        <f t="shared" si="135"/>
        <v>0</v>
      </c>
      <c r="AE273" s="784">
        <f t="shared" si="132"/>
        <v>3.8173183289910019E-2</v>
      </c>
      <c r="AF273" s="784">
        <f t="shared" si="133"/>
        <v>0.1436724274119911</v>
      </c>
      <c r="AG273" s="784">
        <f t="shared" si="134"/>
        <v>0.18184561070190111</v>
      </c>
      <c r="AH273" s="1015">
        <f t="shared" si="130"/>
        <v>0.20992083967584563</v>
      </c>
      <c r="AI273" s="784">
        <f t="shared" si="131"/>
        <v>0.79007916032415437</v>
      </c>
    </row>
    <row r="274" spans="1:43" x14ac:dyDescent="0.2">
      <c r="A274" s="202">
        <v>2048</v>
      </c>
      <c r="B274" s="216">
        <v>0</v>
      </c>
      <c r="C274" s="217">
        <v>0</v>
      </c>
      <c r="D274" s="217">
        <v>2.5630674245753951E-2</v>
      </c>
      <c r="E274" s="217">
        <v>0.10617959788893294</v>
      </c>
      <c r="F274" s="217">
        <v>0.15272912579434997</v>
      </c>
      <c r="G274" s="217">
        <v>0.18160255536390235</v>
      </c>
      <c r="H274" s="217">
        <v>0.19456092448503912</v>
      </c>
      <c r="I274" s="217">
        <v>0.22821158907284664</v>
      </c>
      <c r="J274" s="217">
        <v>0.23671417884101303</v>
      </c>
      <c r="K274" s="217">
        <v>0.24332569178874916</v>
      </c>
      <c r="L274" s="252">
        <v>0.24635896067954713</v>
      </c>
      <c r="M274" s="168">
        <f t="shared" si="122"/>
        <v>4.2894785836609932E-2</v>
      </c>
      <c r="N274" s="170">
        <f t="shared" si="123"/>
        <v>3.8938955253192534E-2</v>
      </c>
      <c r="O274" s="216">
        <v>0</v>
      </c>
      <c r="P274" s="217">
        <v>0</v>
      </c>
      <c r="Q274" s="217">
        <v>6.3873856104724486E-2</v>
      </c>
      <c r="R274" s="217">
        <v>0.13544692340169923</v>
      </c>
      <c r="S274" s="217">
        <v>0.1698999845030971</v>
      </c>
      <c r="T274" s="217">
        <v>0.19778373641022812</v>
      </c>
      <c r="U274" s="217">
        <v>0.20175531105608649</v>
      </c>
      <c r="V274" s="217">
        <v>0.23856555224491455</v>
      </c>
      <c r="W274" s="217">
        <v>0.24510325232257066</v>
      </c>
      <c r="X274" s="217">
        <v>0.24587412476574458</v>
      </c>
      <c r="Y274" s="252">
        <v>0.249347955739705</v>
      </c>
      <c r="Z274" s="168">
        <f t="shared" si="124"/>
        <v>0.15510678264622699</v>
      </c>
      <c r="AA274" s="170">
        <f t="shared" si="125"/>
        <v>0.14075374128416618</v>
      </c>
      <c r="AB274" s="795">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796">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069">
        <f t="shared" si="135"/>
        <v>0</v>
      </c>
      <c r="AE274" s="784">
        <f t="shared" si="132"/>
        <v>4.2894785836609932E-2</v>
      </c>
      <c r="AF274" s="784">
        <f t="shared" si="133"/>
        <v>0.15510678264622699</v>
      </c>
      <c r="AG274" s="784">
        <f t="shared" si="134"/>
        <v>0.19800156848283693</v>
      </c>
      <c r="AH274" s="1015">
        <f t="shared" si="130"/>
        <v>0.21663861637706228</v>
      </c>
      <c r="AI274" s="784">
        <f t="shared" si="131"/>
        <v>0.78336138362293772</v>
      </c>
    </row>
    <row r="275" spans="1:43" x14ac:dyDescent="0.2">
      <c r="A275" s="202">
        <v>2049</v>
      </c>
      <c r="B275" s="216">
        <v>0</v>
      </c>
      <c r="C275" s="217">
        <v>0</v>
      </c>
      <c r="D275" s="217">
        <v>4.8630176446915016E-2</v>
      </c>
      <c r="E275" s="217">
        <v>0.13277417758614088</v>
      </c>
      <c r="F275" s="217">
        <v>0.1710557570739567</v>
      </c>
      <c r="G275" s="217">
        <v>0.18953998720514081</v>
      </c>
      <c r="H275" s="217">
        <v>0.20141992911415843</v>
      </c>
      <c r="I275" s="217">
        <v>0.23938125135557645</v>
      </c>
      <c r="J275" s="217">
        <v>0.24587744691005015</v>
      </c>
      <c r="K275" s="217">
        <v>0.24659831338775862</v>
      </c>
      <c r="L275" s="252">
        <v>0.25088027494726628</v>
      </c>
      <c r="M275" s="168">
        <f t="shared" si="122"/>
        <v>4.5447441695099622E-2</v>
      </c>
      <c r="N275" s="170">
        <f t="shared" si="123"/>
        <v>4.18585018879927E-2</v>
      </c>
      <c r="O275" s="216">
        <v>0</v>
      </c>
      <c r="P275" s="217">
        <v>5.1692141284681678E-4</v>
      </c>
      <c r="Q275" s="217">
        <v>8.8345280421483541E-2</v>
      </c>
      <c r="R275" s="217">
        <v>0.15566416060293276</v>
      </c>
      <c r="S275" s="217">
        <v>0.18548117056211286</v>
      </c>
      <c r="T275" s="217">
        <v>0.20326115035103137</v>
      </c>
      <c r="U275" s="217">
        <v>0.20687816990937324</v>
      </c>
      <c r="V275" s="217">
        <v>0.24775617947187673</v>
      </c>
      <c r="W275" s="217">
        <v>0.24834293327703597</v>
      </c>
      <c r="X275" s="217">
        <v>0.24859421937843065</v>
      </c>
      <c r="Y275" s="252">
        <v>0.25088027494726628</v>
      </c>
      <c r="Z275" s="168">
        <f t="shared" si="124"/>
        <v>0.16080244863395268</v>
      </c>
      <c r="AA275" s="170">
        <f t="shared" si="125"/>
        <v>0.14711928517460843</v>
      </c>
      <c r="AB275" s="795">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796">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069">
        <f t="shared" si="135"/>
        <v>0</v>
      </c>
      <c r="AE275" s="784">
        <f t="shared" si="132"/>
        <v>4.5447441695099622E-2</v>
      </c>
      <c r="AF275" s="784">
        <f t="shared" si="133"/>
        <v>0.16080244863395268</v>
      </c>
      <c r="AG275" s="784">
        <f t="shared" si="134"/>
        <v>0.2062498903290523</v>
      </c>
      <c r="AH275" s="1015">
        <f t="shared" si="130"/>
        <v>0.22035134963025921</v>
      </c>
      <c r="AI275" s="784">
        <f t="shared" si="131"/>
        <v>0.77964865036974074</v>
      </c>
    </row>
    <row r="276" spans="1:43" ht="13.5" thickBot="1" x14ac:dyDescent="0.25">
      <c r="A276" s="200">
        <v>2050</v>
      </c>
      <c r="B276" s="218">
        <v>0</v>
      </c>
      <c r="C276" s="219">
        <v>8.5061581110932021E-4</v>
      </c>
      <c r="D276" s="219">
        <v>8.6642696035651626E-2</v>
      </c>
      <c r="E276" s="219">
        <v>0.16484593903285283</v>
      </c>
      <c r="F276" s="219">
        <v>0.19049605562726565</v>
      </c>
      <c r="G276" s="219">
        <v>0.19850057353788811</v>
      </c>
      <c r="H276" s="219">
        <v>0.20316534984171436</v>
      </c>
      <c r="I276" s="219">
        <v>0.24702407072969251</v>
      </c>
      <c r="J276" s="219">
        <v>0.25133654068134287</v>
      </c>
      <c r="K276" s="219">
        <v>0.25264428053380228</v>
      </c>
      <c r="L276" s="253">
        <v>0.25202969844903172</v>
      </c>
      <c r="M276" s="182">
        <f t="shared" si="122"/>
        <v>4.765073952803188E-2</v>
      </c>
      <c r="N276" s="184">
        <f t="shared" si="123"/>
        <v>4.468221067325627E-2</v>
      </c>
      <c r="O276" s="218">
        <v>0</v>
      </c>
      <c r="P276" s="219">
        <v>4.1758666779247887E-3</v>
      </c>
      <c r="Q276" s="219">
        <v>0.12996070481942129</v>
      </c>
      <c r="R276" s="219">
        <v>0.17706969625867813</v>
      </c>
      <c r="S276" s="219">
        <v>0.19711902606361392</v>
      </c>
      <c r="T276" s="219">
        <v>0.20639719587973648</v>
      </c>
      <c r="U276" s="219">
        <v>0.20827569324979731</v>
      </c>
      <c r="V276" s="219">
        <v>0.24945494871555352</v>
      </c>
      <c r="W276" s="219">
        <v>0.25264428053380228</v>
      </c>
      <c r="X276" s="219">
        <v>0.25334523121665092</v>
      </c>
      <c r="Y276" s="253">
        <v>0.25202969844903172</v>
      </c>
      <c r="Z276" s="182">
        <f t="shared" si="124"/>
        <v>0.16449351931476403</v>
      </c>
      <c r="AA276" s="184">
        <f t="shared" si="125"/>
        <v>0.15194020550512682</v>
      </c>
      <c r="AB276" s="797">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798">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070">
        <f t="shared" si="135"/>
        <v>0</v>
      </c>
      <c r="AE276" s="784">
        <f t="shared" si="132"/>
        <v>4.765073952803188E-2</v>
      </c>
      <c r="AF276" s="784">
        <f t="shared" si="133"/>
        <v>0.16449351931476403</v>
      </c>
      <c r="AG276" s="784">
        <f t="shared" si="134"/>
        <v>0.21214425884279592</v>
      </c>
      <c r="AH276" s="1015">
        <f t="shared" si="130"/>
        <v>0.22461479649723748</v>
      </c>
      <c r="AI276" s="784">
        <f t="shared" si="131"/>
        <v>0.77538520350276241</v>
      </c>
    </row>
    <row r="277" spans="1:43" x14ac:dyDescent="0.2">
      <c r="B277" s="99" t="str">
        <f>B$120</f>
        <v>Output generated: 11/04/2020 14:47</v>
      </c>
      <c r="U277" s="99" t="str">
        <f>U$120</f>
        <v>Output generated: 11/04/2020 14:47</v>
      </c>
      <c r="AE277" s="784"/>
      <c r="AF277" s="784"/>
      <c r="AG277" s="784"/>
      <c r="AH277" s="784"/>
      <c r="AI277" s="784"/>
    </row>
    <row r="278" spans="1:43" x14ac:dyDescent="0.2">
      <c r="AE278" s="784"/>
      <c r="AF278" s="784"/>
      <c r="AG278" s="784"/>
      <c r="AH278" s="784"/>
      <c r="AI278" s="784"/>
    </row>
    <row r="279" spans="1:43" ht="13.5" thickBot="1" x14ac:dyDescent="0.25">
      <c r="AE279" s="784"/>
      <c r="AF279" s="784"/>
      <c r="AG279" s="784"/>
      <c r="AH279" s="784"/>
      <c r="AI279" s="784"/>
    </row>
    <row r="280" spans="1:43" ht="15" x14ac:dyDescent="0.25">
      <c r="A280" s="205"/>
      <c r="B280" s="460" t="s">
        <v>214</v>
      </c>
      <c r="C280" s="461"/>
      <c r="D280" s="461"/>
      <c r="E280" s="461"/>
      <c r="F280" s="461"/>
      <c r="G280" s="461"/>
      <c r="H280" s="461"/>
      <c r="I280" s="461"/>
      <c r="J280" s="461"/>
      <c r="K280" s="461"/>
      <c r="L280" s="461"/>
      <c r="M280" s="461"/>
      <c r="N280" s="462"/>
      <c r="O280" s="460" t="s">
        <v>215</v>
      </c>
      <c r="P280" s="461"/>
      <c r="Q280" s="461"/>
      <c r="R280" s="461"/>
      <c r="S280" s="461"/>
      <c r="T280" s="461"/>
      <c r="U280" s="461"/>
      <c r="V280" s="461"/>
      <c r="W280" s="461"/>
      <c r="X280" s="461"/>
      <c r="Y280" s="461"/>
      <c r="Z280" s="461"/>
      <c r="AA280" s="462"/>
      <c r="AE280" s="784"/>
      <c r="AF280" s="784"/>
      <c r="AG280" s="784"/>
      <c r="AH280" s="784"/>
      <c r="AI280" s="784"/>
    </row>
    <row r="281" spans="1:43" x14ac:dyDescent="0.2">
      <c r="A281" s="196"/>
      <c r="B281" s="463" t="s">
        <v>121</v>
      </c>
      <c r="C281" s="464"/>
      <c r="D281" s="464"/>
      <c r="E281" s="464"/>
      <c r="F281" s="464"/>
      <c r="G281" s="464"/>
      <c r="H281" s="464"/>
      <c r="I281" s="464"/>
      <c r="J281" s="464"/>
      <c r="K281" s="464"/>
      <c r="L281" s="464"/>
      <c r="M281" s="254"/>
      <c r="N281" s="197"/>
      <c r="O281" s="463" t="s">
        <v>121</v>
      </c>
      <c r="P281" s="464"/>
      <c r="Q281" s="464"/>
      <c r="R281" s="464"/>
      <c r="S281" s="464"/>
      <c r="T281" s="464"/>
      <c r="U281" s="464"/>
      <c r="V281" s="464"/>
      <c r="W281" s="464"/>
      <c r="X281" s="464"/>
      <c r="Y281" s="464"/>
      <c r="Z281" s="254"/>
      <c r="AA281" s="197"/>
      <c r="AE281" s="784"/>
      <c r="AF281" s="784"/>
      <c r="AG281" s="784"/>
      <c r="AH281" s="784"/>
      <c r="AI281" s="784"/>
    </row>
    <row r="282" spans="1:43" ht="13.5" thickBot="1" x14ac:dyDescent="0.25">
      <c r="A282" s="203"/>
      <c r="B282" s="210" t="s">
        <v>28</v>
      </c>
      <c r="C282" s="211" t="s">
        <v>29</v>
      </c>
      <c r="D282" s="211" t="s">
        <v>30</v>
      </c>
      <c r="E282" s="211" t="s">
        <v>31</v>
      </c>
      <c r="F282" s="211" t="s">
        <v>32</v>
      </c>
      <c r="G282" s="211" t="s">
        <v>33</v>
      </c>
      <c r="H282" s="211" t="s">
        <v>34</v>
      </c>
      <c r="I282" s="211" t="s">
        <v>35</v>
      </c>
      <c r="J282" s="211" t="s">
        <v>36</v>
      </c>
      <c r="K282" s="211" t="s">
        <v>37</v>
      </c>
      <c r="L282" s="249" t="s">
        <v>38</v>
      </c>
      <c r="M282" s="255" t="s">
        <v>122</v>
      </c>
      <c r="N282" s="204" t="s">
        <v>123</v>
      </c>
      <c r="O282" s="210" t="s">
        <v>28</v>
      </c>
      <c r="P282" s="211" t="s">
        <v>29</v>
      </c>
      <c r="Q282" s="211" t="s">
        <v>30</v>
      </c>
      <c r="R282" s="211" t="s">
        <v>31</v>
      </c>
      <c r="S282" s="211" t="s">
        <v>32</v>
      </c>
      <c r="T282" s="211" t="s">
        <v>33</v>
      </c>
      <c r="U282" s="211" t="s">
        <v>34</v>
      </c>
      <c r="V282" s="211" t="s">
        <v>35</v>
      </c>
      <c r="W282" s="211" t="s">
        <v>36</v>
      </c>
      <c r="X282" s="211" t="s">
        <v>37</v>
      </c>
      <c r="Y282" s="249" t="s">
        <v>38</v>
      </c>
      <c r="Z282" s="255" t="s">
        <v>122</v>
      </c>
      <c r="AA282" s="204" t="s">
        <v>123</v>
      </c>
      <c r="AC282" s="750" t="s">
        <v>267</v>
      </c>
      <c r="AD282" s="106" t="b">
        <f>INDEX(TECH_OPT_FUEL2_Cls1,MATCH(RIGHT(O280),TECH_OPT_ROWS_Cls1,0))&lt;&gt;"N/A"</f>
        <v>1</v>
      </c>
      <c r="AE282" s="784"/>
      <c r="AF282" s="784"/>
      <c r="AG282" s="784"/>
      <c r="AH282" s="784"/>
      <c r="AI282" s="784"/>
    </row>
    <row r="283" spans="1:43" ht="14.25" thickTop="1" thickBot="1" x14ac:dyDescent="0.25">
      <c r="A283" s="220" t="s">
        <v>124</v>
      </c>
      <c r="B283" s="212">
        <f t="array" ref="B283:L283">TRANSPOSE(Cls1CentTruckShr)</f>
        <v>7.9460669190030697E-3</v>
      </c>
      <c r="C283" s="213">
        <v>4.9615201402207001E-3</v>
      </c>
      <c r="D283" s="213">
        <v>9.2815995818941767E-3</v>
      </c>
      <c r="E283" s="213">
        <v>3.0833513121077051E-2</v>
      </c>
      <c r="F283" s="213">
        <v>4.3269302277925595E-2</v>
      </c>
      <c r="G283" s="213">
        <v>2.8144935330937017E-2</v>
      </c>
      <c r="H283" s="213">
        <v>6.8990329765143715E-2</v>
      </c>
      <c r="I283" s="213">
        <v>2.4926184998997059E-2</v>
      </c>
      <c r="J283" s="213">
        <v>7.8890239376675012E-3</v>
      </c>
      <c r="K283" s="213">
        <v>3.6046105934191604E-3</v>
      </c>
      <c r="L283" s="250">
        <v>7.5162351043371062E-3</v>
      </c>
      <c r="M283" s="257"/>
      <c r="N283" s="206"/>
      <c r="O283" s="212">
        <f t="array" ref="O283:Y283">TRANSPOSE(Cls1NCentTruckShr)</f>
        <v>1.2963682068270432E-2</v>
      </c>
      <c r="P283" s="213">
        <v>2.3837141813212878E-2</v>
      </c>
      <c r="Q283" s="213">
        <v>2.5768680683356839E-2</v>
      </c>
      <c r="R283" s="213">
        <v>5.7965433078982248E-2</v>
      </c>
      <c r="S283" s="213">
        <v>0.10312619102844889</v>
      </c>
      <c r="T283" s="213">
        <v>0.18550667796975542</v>
      </c>
      <c r="U283" s="213">
        <v>0.21310728355070049</v>
      </c>
      <c r="V283" s="213">
        <v>7.3364250696428643E-2</v>
      </c>
      <c r="W283" s="213">
        <v>1.9856733825595378E-2</v>
      </c>
      <c r="X283" s="213">
        <v>2.1261216059795113E-2</v>
      </c>
      <c r="Y283" s="250">
        <v>2.5879387454831333E-2</v>
      </c>
      <c r="Z283" s="257"/>
      <c r="AA283" s="206"/>
      <c r="AB283" s="783"/>
      <c r="AC283" s="750" t="s">
        <v>268</v>
      </c>
      <c r="AD283" s="106">
        <f>MATCH(RIGHT(O280),TECH_OPT_ROWS_Cls1,0)</f>
        <v>6</v>
      </c>
      <c r="AE283" s="784"/>
      <c r="AF283" s="784"/>
      <c r="AG283" s="784"/>
      <c r="AH283" s="784"/>
      <c r="AI283" s="784"/>
    </row>
    <row r="284" spans="1:43" x14ac:dyDescent="0.2">
      <c r="A284" s="203" t="s">
        <v>125</v>
      </c>
      <c r="B284" s="785">
        <f t="array" ref="B284:L284">TRANSPOSE(Cls1CentVMTShr)</f>
        <v>8.9762242961142352E-4</v>
      </c>
      <c r="C284" s="786">
        <v>1.2044238150123706E-3</v>
      </c>
      <c r="D284" s="786">
        <v>4.1499109643594731E-3</v>
      </c>
      <c r="E284" s="786">
        <v>1.9575808105519295E-2</v>
      </c>
      <c r="F284" s="786">
        <v>3.4523467949689302E-2</v>
      </c>
      <c r="G284" s="786">
        <v>2.7311948935134379E-2</v>
      </c>
      <c r="H284" s="786">
        <v>7.6478458482655817E-2</v>
      </c>
      <c r="I284" s="786">
        <v>3.2480526319280681E-2</v>
      </c>
      <c r="J284" s="786">
        <v>1.1772940427842455E-2</v>
      </c>
      <c r="K284" s="786">
        <v>6.0339283082965706E-3</v>
      </c>
      <c r="L284" s="787">
        <v>1.5952440951210019E-2</v>
      </c>
      <c r="M284" s="260"/>
      <c r="N284" s="206"/>
      <c r="O284" s="785">
        <f t="array" ref="O284:Y284">TRANSPOSE(Cls1NCentVMTShr)</f>
        <v>1.3589913425833078E-3</v>
      </c>
      <c r="P284" s="786">
        <v>5.8692629772239642E-3</v>
      </c>
      <c r="Q284" s="786">
        <v>1.2100393581509007E-2</v>
      </c>
      <c r="R284" s="786">
        <v>3.6555003327388577E-2</v>
      </c>
      <c r="S284" s="786">
        <v>8.3148735051829181E-2</v>
      </c>
      <c r="T284" s="786">
        <v>0.18151138394047112</v>
      </c>
      <c r="U284" s="786">
        <v>0.2383386372324876</v>
      </c>
      <c r="V284" s="786">
        <v>9.5602564448196578E-2</v>
      </c>
      <c r="W284" s="786">
        <v>2.9193025028929166E-2</v>
      </c>
      <c r="X284" s="786">
        <v>3.5209492159336005E-2</v>
      </c>
      <c r="Y284" s="787">
        <v>5.0731034221433824E-2</v>
      </c>
      <c r="Z284" s="260"/>
      <c r="AA284" s="206"/>
      <c r="AB284" s="1552" t="str">
        <f>"% of miles on f2 for Tech "&amp; RIGHT(O280)&amp;" adopters"</f>
        <v>% of miles on f2 for Tech E adopters</v>
      </c>
      <c r="AC284" s="1553"/>
      <c r="AD284" s="1554"/>
      <c r="AE284" s="784" t="s">
        <v>297</v>
      </c>
      <c r="AF284" s="784"/>
      <c r="AG284" s="784"/>
      <c r="AH284" s="1015" t="s">
        <v>308</v>
      </c>
      <c r="AI284" s="784"/>
    </row>
    <row r="285" spans="1:43" s="791" customFormat="1" ht="13.5" thickBot="1" x14ac:dyDescent="0.25">
      <c r="A285" s="789" t="s">
        <v>266</v>
      </c>
      <c r="B285" s="780">
        <f t="array" ref="B285:L285">TRANSPOSE(Cls1CentVMT/OPDAYS_Cls1)</f>
        <v>51.642967609234425</v>
      </c>
      <c r="C285" s="781">
        <v>110.97733417848234</v>
      </c>
      <c r="D285" s="781">
        <v>204.40224583551472</v>
      </c>
      <c r="E285" s="781">
        <v>290.24610572847212</v>
      </c>
      <c r="F285" s="781">
        <v>364.75750419264841</v>
      </c>
      <c r="G285" s="781">
        <v>443.63126889109378</v>
      </c>
      <c r="H285" s="781">
        <v>506.78134229373978</v>
      </c>
      <c r="I285" s="781">
        <v>595.71283413609137</v>
      </c>
      <c r="J285" s="781">
        <v>682.23089916089702</v>
      </c>
      <c r="K285" s="781">
        <v>765.26438827532684</v>
      </c>
      <c r="L285" s="782">
        <v>970.27871027310334</v>
      </c>
      <c r="M285" s="778"/>
      <c r="N285" s="779"/>
      <c r="O285" s="780">
        <f t="array" ref="O285:Y285">TRANSPOSE(Cls1NCentVMT/OPDAYS_Cls1)</f>
        <v>47.924548633512046</v>
      </c>
      <c r="P285" s="781">
        <v>112.56389213862748</v>
      </c>
      <c r="Q285" s="781">
        <v>214.67280220238027</v>
      </c>
      <c r="R285" s="781">
        <v>288.30186744262801</v>
      </c>
      <c r="S285" s="781">
        <v>368.60089210549245</v>
      </c>
      <c r="T285" s="781">
        <v>447.31558789932524</v>
      </c>
      <c r="U285" s="781">
        <v>511.28831950097862</v>
      </c>
      <c r="V285" s="781">
        <v>595.73726658362273</v>
      </c>
      <c r="W285" s="781">
        <v>672.11099195240695</v>
      </c>
      <c r="X285" s="781">
        <v>757.0793017898726</v>
      </c>
      <c r="Y285" s="782">
        <v>896.16800791754974</v>
      </c>
      <c r="Z285" s="790"/>
      <c r="AA285" s="779"/>
      <c r="AB285" s="792" t="s">
        <v>186</v>
      </c>
      <c r="AC285" s="793" t="s">
        <v>15</v>
      </c>
      <c r="AD285" s="794" t="s">
        <v>18</v>
      </c>
      <c r="AE285" s="784" t="s">
        <v>186</v>
      </c>
      <c r="AF285" s="784" t="s">
        <v>15</v>
      </c>
      <c r="AG285" s="784" t="s">
        <v>18</v>
      </c>
      <c r="AH285" s="1015" t="s">
        <v>186</v>
      </c>
      <c r="AI285" s="784" t="s">
        <v>15</v>
      </c>
      <c r="AJ285" s="195"/>
      <c r="AK285" s="195"/>
      <c r="AL285" s="195"/>
      <c r="AM285" s="195"/>
      <c r="AN285" s="99"/>
      <c r="AO285" s="99"/>
      <c r="AP285" s="99"/>
      <c r="AQ285" s="99"/>
    </row>
    <row r="286" spans="1:43" ht="13.5" thickTop="1" x14ac:dyDescent="0.2">
      <c r="A286" s="788">
        <v>2007</v>
      </c>
      <c r="B286" s="214">
        <v>0</v>
      </c>
      <c r="C286" s="215">
        <v>0</v>
      </c>
      <c r="D286" s="215">
        <v>0</v>
      </c>
      <c r="E286" s="215">
        <v>0</v>
      </c>
      <c r="F286" s="215">
        <v>0</v>
      </c>
      <c r="G286" s="215">
        <v>0</v>
      </c>
      <c r="H286" s="215">
        <v>0</v>
      </c>
      <c r="I286" s="215">
        <v>0</v>
      </c>
      <c r="J286" s="215">
        <v>0</v>
      </c>
      <c r="K286" s="215">
        <v>0</v>
      </c>
      <c r="L286" s="251">
        <v>0</v>
      </c>
      <c r="M286" s="154">
        <f t="shared" ref="M286:M329" si="136">SUMPRODUCT($B$178:$L$178,$B286:$L286)</f>
        <v>0</v>
      </c>
      <c r="N286" s="156">
        <f t="shared" ref="N286:N329" si="137">SUMPRODUCT($B$177:$L$177,$B286:$L286)</f>
        <v>0</v>
      </c>
      <c r="O286" s="214">
        <v>0</v>
      </c>
      <c r="P286" s="215">
        <v>0</v>
      </c>
      <c r="Q286" s="215">
        <v>0</v>
      </c>
      <c r="R286" s="215">
        <v>0</v>
      </c>
      <c r="S286" s="215">
        <v>0</v>
      </c>
      <c r="T286" s="215">
        <v>0</v>
      </c>
      <c r="U286" s="215">
        <v>0</v>
      </c>
      <c r="V286" s="215">
        <v>0</v>
      </c>
      <c r="W286" s="215">
        <v>0</v>
      </c>
      <c r="X286" s="215">
        <v>0</v>
      </c>
      <c r="Y286" s="251">
        <v>0</v>
      </c>
      <c r="Z286" s="154">
        <f t="shared" ref="Z286:Z329" si="138">SUMPRODUCT($O$178:$Y$178,$O286:$Y286)</f>
        <v>0</v>
      </c>
      <c r="AA286" s="156">
        <f t="shared" ref="AA286:AA329" si="139">SUMPRODUCT($O$177:$Y$177,$O286:$Y286)</f>
        <v>0</v>
      </c>
      <c r="AB286" s="795">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796">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069">
        <f t="shared" ref="AD286:AD311" si="140">AB286*AH286+AC286*AI286</f>
        <v>0</v>
      </c>
      <c r="AE286" s="784">
        <f t="shared" ref="AE286:AE300" si="141">SUMPRODUCT($B$74:$L$74,B286:L286)</f>
        <v>0</v>
      </c>
      <c r="AF286" s="784">
        <f t="shared" ref="AF286:AF300" si="142">SUMPRODUCT($O$74:$Y$74,O286:Y286)</f>
        <v>0</v>
      </c>
      <c r="AG286" s="784">
        <f t="shared" ref="AG286:AG300" si="143">SUM(AE286:AF286)</f>
        <v>0</v>
      </c>
      <c r="AH286" s="1015">
        <f>IF(AG286&gt;0,AE286/AG286,0)</f>
        <v>0</v>
      </c>
      <c r="AI286" s="784">
        <f>IF(AG286&gt;0,AF286/AG286,0)</f>
        <v>0</v>
      </c>
      <c r="AJ286" s="791"/>
      <c r="AK286" s="791"/>
      <c r="AL286" s="791"/>
      <c r="AM286" s="791"/>
      <c r="AN286" s="791"/>
      <c r="AO286" s="791"/>
      <c r="AP286" s="791"/>
      <c r="AQ286" s="791"/>
    </row>
    <row r="287" spans="1:43" x14ac:dyDescent="0.2">
      <c r="A287" s="199">
        <v>2008</v>
      </c>
      <c r="B287" s="216">
        <v>0</v>
      </c>
      <c r="C287" s="217">
        <v>0</v>
      </c>
      <c r="D287" s="217">
        <v>0</v>
      </c>
      <c r="E287" s="217">
        <v>0</v>
      </c>
      <c r="F287" s="217">
        <v>0</v>
      </c>
      <c r="G287" s="217">
        <v>0</v>
      </c>
      <c r="H287" s="217">
        <v>0</v>
      </c>
      <c r="I287" s="217">
        <v>0</v>
      </c>
      <c r="J287" s="217">
        <v>0</v>
      </c>
      <c r="K287" s="217">
        <v>0</v>
      </c>
      <c r="L287" s="252">
        <v>0</v>
      </c>
      <c r="M287" s="168">
        <f t="shared" si="136"/>
        <v>0</v>
      </c>
      <c r="N287" s="170">
        <f t="shared" si="137"/>
        <v>0</v>
      </c>
      <c r="O287" s="216">
        <v>0</v>
      </c>
      <c r="P287" s="217">
        <v>0</v>
      </c>
      <c r="Q287" s="217">
        <v>0</v>
      </c>
      <c r="R287" s="217">
        <v>0</v>
      </c>
      <c r="S287" s="217">
        <v>0</v>
      </c>
      <c r="T287" s="217">
        <v>0</v>
      </c>
      <c r="U287" s="217">
        <v>0</v>
      </c>
      <c r="V287" s="217">
        <v>0</v>
      </c>
      <c r="W287" s="217">
        <v>0</v>
      </c>
      <c r="X287" s="217">
        <v>0</v>
      </c>
      <c r="Y287" s="252">
        <v>0</v>
      </c>
      <c r="Z287" s="168">
        <f t="shared" si="138"/>
        <v>0</v>
      </c>
      <c r="AA287" s="170">
        <f t="shared" si="139"/>
        <v>0</v>
      </c>
      <c r="AB287" s="795">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796">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069">
        <f t="shared" si="140"/>
        <v>0</v>
      </c>
      <c r="AE287" s="784">
        <f t="shared" si="141"/>
        <v>0</v>
      </c>
      <c r="AF287" s="784">
        <f t="shared" si="142"/>
        <v>0</v>
      </c>
      <c r="AG287" s="784">
        <f t="shared" si="143"/>
        <v>0</v>
      </c>
      <c r="AH287" s="1015">
        <f t="shared" ref="AH287:AH329" si="144">IF(AG287&gt;0,AE287/AG287,0)</f>
        <v>0</v>
      </c>
      <c r="AI287" s="784">
        <f t="shared" ref="AI287:AI329" si="145">IF(AG287&gt;0,AF287/AG287,0)</f>
        <v>0</v>
      </c>
    </row>
    <row r="288" spans="1:43" x14ac:dyDescent="0.2">
      <c r="A288" s="199">
        <v>2009</v>
      </c>
      <c r="B288" s="216">
        <v>0</v>
      </c>
      <c r="C288" s="217">
        <v>0</v>
      </c>
      <c r="D288" s="217">
        <v>0</v>
      </c>
      <c r="E288" s="217">
        <v>0</v>
      </c>
      <c r="F288" s="217">
        <v>0</v>
      </c>
      <c r="G288" s="217">
        <v>0</v>
      </c>
      <c r="H288" s="217">
        <v>0</v>
      </c>
      <c r="I288" s="217">
        <v>0</v>
      </c>
      <c r="J288" s="217">
        <v>0</v>
      </c>
      <c r="K288" s="217">
        <v>0</v>
      </c>
      <c r="L288" s="252">
        <v>0</v>
      </c>
      <c r="M288" s="168">
        <f t="shared" si="136"/>
        <v>0</v>
      </c>
      <c r="N288" s="170">
        <f t="shared" si="137"/>
        <v>0</v>
      </c>
      <c r="O288" s="216">
        <v>0</v>
      </c>
      <c r="P288" s="217">
        <v>0</v>
      </c>
      <c r="Q288" s="217">
        <v>0</v>
      </c>
      <c r="R288" s="217">
        <v>0</v>
      </c>
      <c r="S288" s="217">
        <v>0</v>
      </c>
      <c r="T288" s="217">
        <v>0</v>
      </c>
      <c r="U288" s="217">
        <v>0</v>
      </c>
      <c r="V288" s="217">
        <v>0</v>
      </c>
      <c r="W288" s="217">
        <v>0</v>
      </c>
      <c r="X288" s="217">
        <v>0</v>
      </c>
      <c r="Y288" s="252">
        <v>0</v>
      </c>
      <c r="Z288" s="168">
        <f t="shared" si="138"/>
        <v>0</v>
      </c>
      <c r="AA288" s="170">
        <f t="shared" si="139"/>
        <v>0</v>
      </c>
      <c r="AB288" s="795">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796">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069">
        <f t="shared" si="140"/>
        <v>0</v>
      </c>
      <c r="AE288" s="784">
        <f t="shared" si="141"/>
        <v>0</v>
      </c>
      <c r="AF288" s="784">
        <f t="shared" si="142"/>
        <v>0</v>
      </c>
      <c r="AG288" s="784">
        <f t="shared" si="143"/>
        <v>0</v>
      </c>
      <c r="AH288" s="1015">
        <f t="shared" si="144"/>
        <v>0</v>
      </c>
      <c r="AI288" s="784">
        <f t="shared" si="145"/>
        <v>0</v>
      </c>
    </row>
    <row r="289" spans="1:35" ht="13.5" thickBot="1" x14ac:dyDescent="0.25">
      <c r="A289" s="200">
        <v>2010</v>
      </c>
      <c r="B289" s="218">
        <v>0</v>
      </c>
      <c r="C289" s="219">
        <v>0</v>
      </c>
      <c r="D289" s="219">
        <v>0</v>
      </c>
      <c r="E289" s="219">
        <v>0</v>
      </c>
      <c r="F289" s="219">
        <v>0</v>
      </c>
      <c r="G289" s="219">
        <v>0</v>
      </c>
      <c r="H289" s="219">
        <v>0</v>
      </c>
      <c r="I289" s="219">
        <v>0</v>
      </c>
      <c r="J289" s="219">
        <v>0</v>
      </c>
      <c r="K289" s="219">
        <v>0</v>
      </c>
      <c r="L289" s="253">
        <v>0</v>
      </c>
      <c r="M289" s="182">
        <f t="shared" si="136"/>
        <v>0</v>
      </c>
      <c r="N289" s="184">
        <f t="shared" si="137"/>
        <v>0</v>
      </c>
      <c r="O289" s="218">
        <v>0</v>
      </c>
      <c r="P289" s="219">
        <v>0</v>
      </c>
      <c r="Q289" s="219">
        <v>0</v>
      </c>
      <c r="R289" s="219">
        <v>0</v>
      </c>
      <c r="S289" s="219">
        <v>0</v>
      </c>
      <c r="T289" s="219">
        <v>0</v>
      </c>
      <c r="U289" s="219">
        <v>0</v>
      </c>
      <c r="V289" s="219">
        <v>0</v>
      </c>
      <c r="W289" s="219">
        <v>0</v>
      </c>
      <c r="X289" s="219">
        <v>0</v>
      </c>
      <c r="Y289" s="253">
        <v>0</v>
      </c>
      <c r="Z289" s="182">
        <f t="shared" si="138"/>
        <v>0</v>
      </c>
      <c r="AA289" s="184">
        <f t="shared" si="139"/>
        <v>0</v>
      </c>
      <c r="AB289" s="795">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796">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069">
        <f t="shared" si="140"/>
        <v>0</v>
      </c>
      <c r="AE289" s="784">
        <f t="shared" si="141"/>
        <v>0</v>
      </c>
      <c r="AF289" s="784">
        <f t="shared" si="142"/>
        <v>0</v>
      </c>
      <c r="AG289" s="784">
        <f t="shared" si="143"/>
        <v>0</v>
      </c>
      <c r="AH289" s="1015">
        <f t="shared" si="144"/>
        <v>0</v>
      </c>
      <c r="AI289" s="784">
        <f t="shared" si="145"/>
        <v>0</v>
      </c>
    </row>
    <row r="290" spans="1:35" x14ac:dyDescent="0.2">
      <c r="A290" s="201">
        <v>2011</v>
      </c>
      <c r="B290" s="214">
        <v>0</v>
      </c>
      <c r="C290" s="215">
        <v>0</v>
      </c>
      <c r="D290" s="215">
        <v>0</v>
      </c>
      <c r="E290" s="215">
        <v>0</v>
      </c>
      <c r="F290" s="215">
        <v>0</v>
      </c>
      <c r="G290" s="215">
        <v>0</v>
      </c>
      <c r="H290" s="215">
        <v>0</v>
      </c>
      <c r="I290" s="215">
        <v>0</v>
      </c>
      <c r="J290" s="215">
        <v>0</v>
      </c>
      <c r="K290" s="215">
        <v>0</v>
      </c>
      <c r="L290" s="251">
        <v>0</v>
      </c>
      <c r="M290" s="154">
        <f t="shared" si="136"/>
        <v>0</v>
      </c>
      <c r="N290" s="156">
        <f t="shared" si="137"/>
        <v>0</v>
      </c>
      <c r="O290" s="214">
        <v>0</v>
      </c>
      <c r="P290" s="215">
        <v>0</v>
      </c>
      <c r="Q290" s="215">
        <v>0</v>
      </c>
      <c r="R290" s="215">
        <v>0</v>
      </c>
      <c r="S290" s="215">
        <v>0</v>
      </c>
      <c r="T290" s="215">
        <v>0</v>
      </c>
      <c r="U290" s="215">
        <v>0</v>
      </c>
      <c r="V290" s="215">
        <v>0</v>
      </c>
      <c r="W290" s="215">
        <v>0</v>
      </c>
      <c r="X290" s="215">
        <v>0</v>
      </c>
      <c r="Y290" s="251">
        <v>0</v>
      </c>
      <c r="Z290" s="154">
        <f t="shared" si="138"/>
        <v>0</v>
      </c>
      <c r="AA290" s="156">
        <f t="shared" si="139"/>
        <v>0</v>
      </c>
      <c r="AB290" s="795">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796">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069">
        <f t="shared" si="140"/>
        <v>0</v>
      </c>
      <c r="AE290" s="784">
        <f t="shared" si="141"/>
        <v>0</v>
      </c>
      <c r="AF290" s="784">
        <f t="shared" si="142"/>
        <v>0</v>
      </c>
      <c r="AG290" s="784">
        <f t="shared" si="143"/>
        <v>0</v>
      </c>
      <c r="AH290" s="1015">
        <f t="shared" si="144"/>
        <v>0</v>
      </c>
      <c r="AI290" s="784">
        <f t="shared" si="145"/>
        <v>0</v>
      </c>
    </row>
    <row r="291" spans="1:35" x14ac:dyDescent="0.2">
      <c r="A291" s="202">
        <v>2012</v>
      </c>
      <c r="B291" s="216">
        <v>0</v>
      </c>
      <c r="C291" s="217">
        <v>0</v>
      </c>
      <c r="D291" s="217">
        <v>0</v>
      </c>
      <c r="E291" s="217">
        <v>0</v>
      </c>
      <c r="F291" s="217">
        <v>0</v>
      </c>
      <c r="G291" s="217">
        <v>0</v>
      </c>
      <c r="H291" s="217">
        <v>0</v>
      </c>
      <c r="I291" s="217">
        <v>0</v>
      </c>
      <c r="J291" s="217">
        <v>0</v>
      </c>
      <c r="K291" s="217">
        <v>0</v>
      </c>
      <c r="L291" s="252">
        <v>0</v>
      </c>
      <c r="M291" s="168">
        <f t="shared" si="136"/>
        <v>0</v>
      </c>
      <c r="N291" s="170">
        <f t="shared" si="137"/>
        <v>0</v>
      </c>
      <c r="O291" s="216">
        <v>0</v>
      </c>
      <c r="P291" s="217">
        <v>0</v>
      </c>
      <c r="Q291" s="217">
        <v>0</v>
      </c>
      <c r="R291" s="217">
        <v>0</v>
      </c>
      <c r="S291" s="217">
        <v>0</v>
      </c>
      <c r="T291" s="217">
        <v>0</v>
      </c>
      <c r="U291" s="217">
        <v>0</v>
      </c>
      <c r="V291" s="217">
        <v>0</v>
      </c>
      <c r="W291" s="217">
        <v>0</v>
      </c>
      <c r="X291" s="217">
        <v>0</v>
      </c>
      <c r="Y291" s="252">
        <v>0</v>
      </c>
      <c r="Z291" s="168">
        <f t="shared" si="138"/>
        <v>0</v>
      </c>
      <c r="AA291" s="170">
        <f t="shared" si="139"/>
        <v>0</v>
      </c>
      <c r="AB291" s="795">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796">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069">
        <f t="shared" si="140"/>
        <v>0</v>
      </c>
      <c r="AE291" s="784">
        <f t="shared" si="141"/>
        <v>0</v>
      </c>
      <c r="AF291" s="784">
        <f t="shared" si="142"/>
        <v>0</v>
      </c>
      <c r="AG291" s="784">
        <f t="shared" si="143"/>
        <v>0</v>
      </c>
      <c r="AH291" s="1015">
        <f t="shared" si="144"/>
        <v>0</v>
      </c>
      <c r="AI291" s="784">
        <f t="shared" si="145"/>
        <v>0</v>
      </c>
    </row>
    <row r="292" spans="1:35" x14ac:dyDescent="0.2">
      <c r="A292" s="202">
        <v>2013</v>
      </c>
      <c r="B292" s="216">
        <v>0</v>
      </c>
      <c r="C292" s="217">
        <v>0</v>
      </c>
      <c r="D292" s="217">
        <v>0</v>
      </c>
      <c r="E292" s="217">
        <v>0</v>
      </c>
      <c r="F292" s="217">
        <v>0</v>
      </c>
      <c r="G292" s="217">
        <v>0</v>
      </c>
      <c r="H292" s="217">
        <v>0</v>
      </c>
      <c r="I292" s="217">
        <v>0</v>
      </c>
      <c r="J292" s="217">
        <v>0</v>
      </c>
      <c r="K292" s="217">
        <v>0</v>
      </c>
      <c r="L292" s="252">
        <v>0</v>
      </c>
      <c r="M292" s="168">
        <f t="shared" si="136"/>
        <v>0</v>
      </c>
      <c r="N292" s="170">
        <f t="shared" si="137"/>
        <v>0</v>
      </c>
      <c r="O292" s="216">
        <v>0</v>
      </c>
      <c r="P292" s="217">
        <v>0</v>
      </c>
      <c r="Q292" s="217">
        <v>0</v>
      </c>
      <c r="R292" s="217">
        <v>0</v>
      </c>
      <c r="S292" s="217">
        <v>0</v>
      </c>
      <c r="T292" s="217">
        <v>0</v>
      </c>
      <c r="U292" s="217">
        <v>0</v>
      </c>
      <c r="V292" s="217">
        <v>0</v>
      </c>
      <c r="W292" s="217">
        <v>0</v>
      </c>
      <c r="X292" s="217">
        <v>0</v>
      </c>
      <c r="Y292" s="252">
        <v>0</v>
      </c>
      <c r="Z292" s="168">
        <f t="shared" si="138"/>
        <v>0</v>
      </c>
      <c r="AA292" s="170">
        <f t="shared" si="139"/>
        <v>0</v>
      </c>
      <c r="AB292" s="795">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796">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069">
        <f t="shared" si="140"/>
        <v>0</v>
      </c>
      <c r="AE292" s="784">
        <f t="shared" si="141"/>
        <v>0</v>
      </c>
      <c r="AF292" s="784">
        <f t="shared" si="142"/>
        <v>0</v>
      </c>
      <c r="AG292" s="784">
        <f t="shared" si="143"/>
        <v>0</v>
      </c>
      <c r="AH292" s="1015">
        <f t="shared" si="144"/>
        <v>0</v>
      </c>
      <c r="AI292" s="784">
        <f t="shared" si="145"/>
        <v>0</v>
      </c>
    </row>
    <row r="293" spans="1:35" x14ac:dyDescent="0.2">
      <c r="A293" s="202">
        <v>2014</v>
      </c>
      <c r="B293" s="216">
        <v>0</v>
      </c>
      <c r="C293" s="217">
        <v>0</v>
      </c>
      <c r="D293" s="217">
        <v>0</v>
      </c>
      <c r="E293" s="217">
        <v>0</v>
      </c>
      <c r="F293" s="217">
        <v>0</v>
      </c>
      <c r="G293" s="217">
        <v>0</v>
      </c>
      <c r="H293" s="217">
        <v>0</v>
      </c>
      <c r="I293" s="217">
        <v>0</v>
      </c>
      <c r="J293" s="217">
        <v>0</v>
      </c>
      <c r="K293" s="217">
        <v>0</v>
      </c>
      <c r="L293" s="252">
        <v>0</v>
      </c>
      <c r="M293" s="168">
        <f t="shared" si="136"/>
        <v>0</v>
      </c>
      <c r="N293" s="170">
        <f t="shared" si="137"/>
        <v>0</v>
      </c>
      <c r="O293" s="216">
        <v>0</v>
      </c>
      <c r="P293" s="217">
        <v>0</v>
      </c>
      <c r="Q293" s="217">
        <v>0</v>
      </c>
      <c r="R293" s="217">
        <v>0</v>
      </c>
      <c r="S293" s="217">
        <v>0</v>
      </c>
      <c r="T293" s="217">
        <v>0</v>
      </c>
      <c r="U293" s="217">
        <v>0</v>
      </c>
      <c r="V293" s="217">
        <v>0</v>
      </c>
      <c r="W293" s="217">
        <v>0</v>
      </c>
      <c r="X293" s="217">
        <v>0</v>
      </c>
      <c r="Y293" s="252">
        <v>0</v>
      </c>
      <c r="Z293" s="168">
        <f t="shared" si="138"/>
        <v>0</v>
      </c>
      <c r="AA293" s="170">
        <f t="shared" si="139"/>
        <v>0</v>
      </c>
      <c r="AB293" s="795">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796">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069">
        <f t="shared" si="140"/>
        <v>0</v>
      </c>
      <c r="AE293" s="784">
        <f t="shared" si="141"/>
        <v>0</v>
      </c>
      <c r="AF293" s="784">
        <f t="shared" si="142"/>
        <v>0</v>
      </c>
      <c r="AG293" s="784">
        <f t="shared" si="143"/>
        <v>0</v>
      </c>
      <c r="AH293" s="1015">
        <f t="shared" si="144"/>
        <v>0</v>
      </c>
      <c r="AI293" s="784">
        <f t="shared" si="145"/>
        <v>0</v>
      </c>
    </row>
    <row r="294" spans="1:35" ht="13.5" thickBot="1" x14ac:dyDescent="0.25">
      <c r="A294" s="200">
        <v>2015</v>
      </c>
      <c r="B294" s="218">
        <v>0</v>
      </c>
      <c r="C294" s="219">
        <v>0</v>
      </c>
      <c r="D294" s="219">
        <v>0</v>
      </c>
      <c r="E294" s="219">
        <v>0</v>
      </c>
      <c r="F294" s="219">
        <v>0</v>
      </c>
      <c r="G294" s="219">
        <v>0</v>
      </c>
      <c r="H294" s="219">
        <v>0</v>
      </c>
      <c r="I294" s="219">
        <v>0</v>
      </c>
      <c r="J294" s="219">
        <v>0</v>
      </c>
      <c r="K294" s="219">
        <v>0</v>
      </c>
      <c r="L294" s="253">
        <v>0</v>
      </c>
      <c r="M294" s="182">
        <f t="shared" si="136"/>
        <v>0</v>
      </c>
      <c r="N294" s="184">
        <f t="shared" si="137"/>
        <v>0</v>
      </c>
      <c r="O294" s="218">
        <v>0</v>
      </c>
      <c r="P294" s="219">
        <v>0</v>
      </c>
      <c r="Q294" s="219">
        <v>0</v>
      </c>
      <c r="R294" s="219">
        <v>0</v>
      </c>
      <c r="S294" s="219">
        <v>0</v>
      </c>
      <c r="T294" s="219">
        <v>0</v>
      </c>
      <c r="U294" s="219">
        <v>0</v>
      </c>
      <c r="V294" s="219">
        <v>0</v>
      </c>
      <c r="W294" s="219">
        <v>0</v>
      </c>
      <c r="X294" s="219">
        <v>0</v>
      </c>
      <c r="Y294" s="253">
        <v>0</v>
      </c>
      <c r="Z294" s="182">
        <f t="shared" si="138"/>
        <v>0</v>
      </c>
      <c r="AA294" s="184">
        <f t="shared" si="139"/>
        <v>0</v>
      </c>
      <c r="AB294" s="795">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796">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069">
        <f t="shared" si="140"/>
        <v>0</v>
      </c>
      <c r="AE294" s="784">
        <f t="shared" si="141"/>
        <v>0</v>
      </c>
      <c r="AF294" s="784">
        <f t="shared" si="142"/>
        <v>0</v>
      </c>
      <c r="AG294" s="784">
        <f t="shared" si="143"/>
        <v>0</v>
      </c>
      <c r="AH294" s="1015">
        <f t="shared" si="144"/>
        <v>0</v>
      </c>
      <c r="AI294" s="784">
        <f t="shared" si="145"/>
        <v>0</v>
      </c>
    </row>
    <row r="295" spans="1:35" x14ac:dyDescent="0.2">
      <c r="A295" s="201">
        <v>2016</v>
      </c>
      <c r="B295" s="214">
        <v>0</v>
      </c>
      <c r="C295" s="215">
        <v>0</v>
      </c>
      <c r="D295" s="215">
        <v>0</v>
      </c>
      <c r="E295" s="215">
        <v>0</v>
      </c>
      <c r="F295" s="215">
        <v>0</v>
      </c>
      <c r="G295" s="215">
        <v>0</v>
      </c>
      <c r="H295" s="215">
        <v>0</v>
      </c>
      <c r="I295" s="215">
        <v>0</v>
      </c>
      <c r="J295" s="215">
        <v>0</v>
      </c>
      <c r="K295" s="215">
        <v>0</v>
      </c>
      <c r="L295" s="251">
        <v>0</v>
      </c>
      <c r="M295" s="154">
        <f t="shared" si="136"/>
        <v>0</v>
      </c>
      <c r="N295" s="156">
        <f t="shared" si="137"/>
        <v>0</v>
      </c>
      <c r="O295" s="214">
        <v>0</v>
      </c>
      <c r="P295" s="215">
        <v>0</v>
      </c>
      <c r="Q295" s="215">
        <v>0</v>
      </c>
      <c r="R295" s="215">
        <v>0</v>
      </c>
      <c r="S295" s="215">
        <v>0</v>
      </c>
      <c r="T295" s="215">
        <v>0</v>
      </c>
      <c r="U295" s="215">
        <v>0</v>
      </c>
      <c r="V295" s="215">
        <v>0</v>
      </c>
      <c r="W295" s="215">
        <v>0</v>
      </c>
      <c r="X295" s="215">
        <v>0</v>
      </c>
      <c r="Y295" s="251">
        <v>0</v>
      </c>
      <c r="Z295" s="154">
        <f t="shared" si="138"/>
        <v>0</v>
      </c>
      <c r="AA295" s="156">
        <f t="shared" si="139"/>
        <v>0</v>
      </c>
      <c r="AB295" s="795">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796">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069">
        <f t="shared" si="140"/>
        <v>0</v>
      </c>
      <c r="AE295" s="784">
        <f t="shared" si="141"/>
        <v>0</v>
      </c>
      <c r="AF295" s="784">
        <f t="shared" si="142"/>
        <v>0</v>
      </c>
      <c r="AG295" s="784">
        <f t="shared" si="143"/>
        <v>0</v>
      </c>
      <c r="AH295" s="1015">
        <f t="shared" si="144"/>
        <v>0</v>
      </c>
      <c r="AI295" s="784">
        <f t="shared" si="145"/>
        <v>0</v>
      </c>
    </row>
    <row r="296" spans="1:35" x14ac:dyDescent="0.2">
      <c r="A296" s="202">
        <v>2017</v>
      </c>
      <c r="B296" s="216">
        <v>0</v>
      </c>
      <c r="C296" s="217">
        <v>0</v>
      </c>
      <c r="D296" s="217">
        <v>0</v>
      </c>
      <c r="E296" s="217">
        <v>0</v>
      </c>
      <c r="F296" s="217">
        <v>0</v>
      </c>
      <c r="G296" s="217">
        <v>0</v>
      </c>
      <c r="H296" s="217">
        <v>0</v>
      </c>
      <c r="I296" s="217">
        <v>0</v>
      </c>
      <c r="J296" s="217">
        <v>0</v>
      </c>
      <c r="K296" s="217">
        <v>0</v>
      </c>
      <c r="L296" s="252">
        <v>0</v>
      </c>
      <c r="M296" s="168">
        <f t="shared" si="136"/>
        <v>0</v>
      </c>
      <c r="N296" s="170">
        <f t="shared" si="137"/>
        <v>0</v>
      </c>
      <c r="O296" s="216">
        <v>0</v>
      </c>
      <c r="P296" s="217">
        <v>0</v>
      </c>
      <c r="Q296" s="217">
        <v>0</v>
      </c>
      <c r="R296" s="217">
        <v>0</v>
      </c>
      <c r="S296" s="217">
        <v>0</v>
      </c>
      <c r="T296" s="217">
        <v>0</v>
      </c>
      <c r="U296" s="217">
        <v>0</v>
      </c>
      <c r="V296" s="217">
        <v>0</v>
      </c>
      <c r="W296" s="217">
        <v>0</v>
      </c>
      <c r="X296" s="217">
        <v>0</v>
      </c>
      <c r="Y296" s="252">
        <v>0</v>
      </c>
      <c r="Z296" s="168">
        <f t="shared" si="138"/>
        <v>0</v>
      </c>
      <c r="AA296" s="170">
        <f t="shared" si="139"/>
        <v>0</v>
      </c>
      <c r="AB296" s="795">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796">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069">
        <f t="shared" si="140"/>
        <v>0</v>
      </c>
      <c r="AE296" s="784">
        <f t="shared" si="141"/>
        <v>0</v>
      </c>
      <c r="AF296" s="784">
        <f t="shared" si="142"/>
        <v>0</v>
      </c>
      <c r="AG296" s="784">
        <f t="shared" si="143"/>
        <v>0</v>
      </c>
      <c r="AH296" s="1015">
        <f t="shared" si="144"/>
        <v>0</v>
      </c>
      <c r="AI296" s="784">
        <f t="shared" si="145"/>
        <v>0</v>
      </c>
    </row>
    <row r="297" spans="1:35" x14ac:dyDescent="0.2">
      <c r="A297" s="202">
        <v>2018</v>
      </c>
      <c r="B297" s="216">
        <v>0</v>
      </c>
      <c r="C297" s="217">
        <v>0</v>
      </c>
      <c r="D297" s="217">
        <v>0</v>
      </c>
      <c r="E297" s="217">
        <v>0</v>
      </c>
      <c r="F297" s="217">
        <v>0</v>
      </c>
      <c r="G297" s="217">
        <v>0</v>
      </c>
      <c r="H297" s="217">
        <v>0</v>
      </c>
      <c r="I297" s="217">
        <v>0</v>
      </c>
      <c r="J297" s="217">
        <v>0</v>
      </c>
      <c r="K297" s="217">
        <v>0</v>
      </c>
      <c r="L297" s="252">
        <v>0</v>
      </c>
      <c r="M297" s="168">
        <f t="shared" si="136"/>
        <v>0</v>
      </c>
      <c r="N297" s="170">
        <f t="shared" si="137"/>
        <v>0</v>
      </c>
      <c r="O297" s="216">
        <v>0</v>
      </c>
      <c r="P297" s="217">
        <v>0</v>
      </c>
      <c r="Q297" s="217">
        <v>0</v>
      </c>
      <c r="R297" s="217">
        <v>0</v>
      </c>
      <c r="S297" s="217">
        <v>0</v>
      </c>
      <c r="T297" s="217">
        <v>0</v>
      </c>
      <c r="U297" s="217">
        <v>0</v>
      </c>
      <c r="V297" s="217">
        <v>0</v>
      </c>
      <c r="W297" s="217">
        <v>0</v>
      </c>
      <c r="X297" s="217">
        <v>0</v>
      </c>
      <c r="Y297" s="252">
        <v>0</v>
      </c>
      <c r="Z297" s="168">
        <f t="shared" si="138"/>
        <v>0</v>
      </c>
      <c r="AA297" s="170">
        <f t="shared" si="139"/>
        <v>0</v>
      </c>
      <c r="AB297" s="795">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796">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069">
        <f t="shared" si="140"/>
        <v>0</v>
      </c>
      <c r="AE297" s="784">
        <f t="shared" si="141"/>
        <v>0</v>
      </c>
      <c r="AF297" s="784">
        <f t="shared" si="142"/>
        <v>0</v>
      </c>
      <c r="AG297" s="784">
        <f t="shared" si="143"/>
        <v>0</v>
      </c>
      <c r="AH297" s="1015">
        <f t="shared" si="144"/>
        <v>0</v>
      </c>
      <c r="AI297" s="784">
        <f t="shared" si="145"/>
        <v>0</v>
      </c>
    </row>
    <row r="298" spans="1:35" x14ac:dyDescent="0.2">
      <c r="A298" s="202">
        <v>2019</v>
      </c>
      <c r="B298" s="216">
        <v>0</v>
      </c>
      <c r="C298" s="217">
        <v>0</v>
      </c>
      <c r="D298" s="217">
        <v>0</v>
      </c>
      <c r="E298" s="217">
        <v>0</v>
      </c>
      <c r="F298" s="217">
        <v>0</v>
      </c>
      <c r="G298" s="217">
        <v>0</v>
      </c>
      <c r="H298" s="217">
        <v>0</v>
      </c>
      <c r="I298" s="217">
        <v>0</v>
      </c>
      <c r="J298" s="217">
        <v>0</v>
      </c>
      <c r="K298" s="217">
        <v>0</v>
      </c>
      <c r="L298" s="252">
        <v>0</v>
      </c>
      <c r="M298" s="168">
        <f t="shared" si="136"/>
        <v>0</v>
      </c>
      <c r="N298" s="170">
        <f t="shared" si="137"/>
        <v>0</v>
      </c>
      <c r="O298" s="216">
        <v>0</v>
      </c>
      <c r="P298" s="217">
        <v>0</v>
      </c>
      <c r="Q298" s="217">
        <v>0</v>
      </c>
      <c r="R298" s="217">
        <v>0</v>
      </c>
      <c r="S298" s="217">
        <v>0</v>
      </c>
      <c r="T298" s="217">
        <v>0</v>
      </c>
      <c r="U298" s="217">
        <v>0</v>
      </c>
      <c r="V298" s="217">
        <v>0</v>
      </c>
      <c r="W298" s="217">
        <v>0</v>
      </c>
      <c r="X298" s="217">
        <v>0</v>
      </c>
      <c r="Y298" s="252">
        <v>0</v>
      </c>
      <c r="Z298" s="168">
        <f t="shared" si="138"/>
        <v>0</v>
      </c>
      <c r="AA298" s="170">
        <f t="shared" si="139"/>
        <v>0</v>
      </c>
      <c r="AB298" s="795">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796">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069">
        <f t="shared" si="140"/>
        <v>0</v>
      </c>
      <c r="AE298" s="784">
        <f t="shared" si="141"/>
        <v>0</v>
      </c>
      <c r="AF298" s="784">
        <f t="shared" si="142"/>
        <v>0</v>
      </c>
      <c r="AG298" s="784">
        <f t="shared" si="143"/>
        <v>0</v>
      </c>
      <c r="AH298" s="1015">
        <f t="shared" si="144"/>
        <v>0</v>
      </c>
      <c r="AI298" s="784">
        <f t="shared" si="145"/>
        <v>0</v>
      </c>
    </row>
    <row r="299" spans="1:35" ht="13.5" thickBot="1" x14ac:dyDescent="0.25">
      <c r="A299" s="200">
        <v>2020</v>
      </c>
      <c r="B299" s="218">
        <v>0</v>
      </c>
      <c r="C299" s="219">
        <v>0</v>
      </c>
      <c r="D299" s="219">
        <v>0</v>
      </c>
      <c r="E299" s="219">
        <v>0</v>
      </c>
      <c r="F299" s="219">
        <v>0</v>
      </c>
      <c r="G299" s="219">
        <v>0</v>
      </c>
      <c r="H299" s="219">
        <v>0</v>
      </c>
      <c r="I299" s="219">
        <v>0</v>
      </c>
      <c r="J299" s="219">
        <v>0</v>
      </c>
      <c r="K299" s="219">
        <v>0</v>
      </c>
      <c r="L299" s="253">
        <v>0</v>
      </c>
      <c r="M299" s="182">
        <f t="shared" si="136"/>
        <v>0</v>
      </c>
      <c r="N299" s="184">
        <f t="shared" si="137"/>
        <v>0</v>
      </c>
      <c r="O299" s="218">
        <v>0</v>
      </c>
      <c r="P299" s="219">
        <v>0</v>
      </c>
      <c r="Q299" s="219">
        <v>0</v>
      </c>
      <c r="R299" s="219">
        <v>0</v>
      </c>
      <c r="S299" s="219">
        <v>0</v>
      </c>
      <c r="T299" s="219">
        <v>0</v>
      </c>
      <c r="U299" s="219">
        <v>0</v>
      </c>
      <c r="V299" s="219">
        <v>0</v>
      </c>
      <c r="W299" s="219">
        <v>0</v>
      </c>
      <c r="X299" s="219">
        <v>0</v>
      </c>
      <c r="Y299" s="253">
        <v>0</v>
      </c>
      <c r="Z299" s="182">
        <f t="shared" si="138"/>
        <v>0</v>
      </c>
      <c r="AA299" s="184">
        <f t="shared" si="139"/>
        <v>0</v>
      </c>
      <c r="AB299" s="795">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796">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069">
        <f t="shared" si="140"/>
        <v>0</v>
      </c>
      <c r="AE299" s="784">
        <f t="shared" si="141"/>
        <v>0</v>
      </c>
      <c r="AF299" s="784">
        <f t="shared" si="142"/>
        <v>0</v>
      </c>
      <c r="AG299" s="784">
        <f t="shared" si="143"/>
        <v>0</v>
      </c>
      <c r="AH299" s="1015">
        <f t="shared" si="144"/>
        <v>0</v>
      </c>
      <c r="AI299" s="784">
        <f t="shared" si="145"/>
        <v>0</v>
      </c>
    </row>
    <row r="300" spans="1:35" x14ac:dyDescent="0.2">
      <c r="A300" s="201">
        <v>2021</v>
      </c>
      <c r="B300" s="214">
        <v>0</v>
      </c>
      <c r="C300" s="215">
        <v>0</v>
      </c>
      <c r="D300" s="215">
        <v>0</v>
      </c>
      <c r="E300" s="215">
        <v>0</v>
      </c>
      <c r="F300" s="215">
        <v>0</v>
      </c>
      <c r="G300" s="215">
        <v>0</v>
      </c>
      <c r="H300" s="215">
        <v>0</v>
      </c>
      <c r="I300" s="215">
        <v>0</v>
      </c>
      <c r="J300" s="215">
        <v>0</v>
      </c>
      <c r="K300" s="215">
        <v>0</v>
      </c>
      <c r="L300" s="251">
        <v>0</v>
      </c>
      <c r="M300" s="154">
        <f t="shared" si="136"/>
        <v>0</v>
      </c>
      <c r="N300" s="156">
        <f t="shared" si="137"/>
        <v>0</v>
      </c>
      <c r="O300" s="214">
        <v>0</v>
      </c>
      <c r="P300" s="215">
        <v>0</v>
      </c>
      <c r="Q300" s="215">
        <v>0</v>
      </c>
      <c r="R300" s="215">
        <v>0</v>
      </c>
      <c r="S300" s="215">
        <v>0</v>
      </c>
      <c r="T300" s="215">
        <v>0</v>
      </c>
      <c r="U300" s="215">
        <v>0</v>
      </c>
      <c r="V300" s="215">
        <v>0</v>
      </c>
      <c r="W300" s="215">
        <v>0</v>
      </c>
      <c r="X300" s="215">
        <v>0</v>
      </c>
      <c r="Y300" s="251">
        <v>0</v>
      </c>
      <c r="Z300" s="154">
        <f t="shared" si="138"/>
        <v>0</v>
      </c>
      <c r="AA300" s="156">
        <f t="shared" si="139"/>
        <v>0</v>
      </c>
      <c r="AB300" s="795">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796">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069">
        <f t="shared" si="140"/>
        <v>0</v>
      </c>
      <c r="AE300" s="784">
        <f t="shared" si="141"/>
        <v>0</v>
      </c>
      <c r="AF300" s="784">
        <f t="shared" si="142"/>
        <v>0</v>
      </c>
      <c r="AG300" s="784">
        <f t="shared" si="143"/>
        <v>0</v>
      </c>
      <c r="AH300" s="1015">
        <f t="shared" si="144"/>
        <v>0</v>
      </c>
      <c r="AI300" s="784">
        <f t="shared" si="145"/>
        <v>0</v>
      </c>
    </row>
    <row r="301" spans="1:35" x14ac:dyDescent="0.2">
      <c r="A301" s="202">
        <v>2022</v>
      </c>
      <c r="B301" s="216">
        <v>0</v>
      </c>
      <c r="C301" s="217">
        <v>0</v>
      </c>
      <c r="D301" s="217">
        <v>0</v>
      </c>
      <c r="E301" s="217">
        <v>0</v>
      </c>
      <c r="F301" s="217">
        <v>0</v>
      </c>
      <c r="G301" s="217">
        <v>0</v>
      </c>
      <c r="H301" s="217">
        <v>0</v>
      </c>
      <c r="I301" s="217">
        <v>0</v>
      </c>
      <c r="J301" s="217">
        <v>0</v>
      </c>
      <c r="K301" s="217">
        <v>0</v>
      </c>
      <c r="L301" s="252">
        <v>0</v>
      </c>
      <c r="M301" s="168">
        <f t="shared" si="136"/>
        <v>0</v>
      </c>
      <c r="N301" s="170">
        <f t="shared" si="137"/>
        <v>0</v>
      </c>
      <c r="O301" s="216">
        <v>0</v>
      </c>
      <c r="P301" s="217">
        <v>0</v>
      </c>
      <c r="Q301" s="217">
        <v>0</v>
      </c>
      <c r="R301" s="217">
        <v>0</v>
      </c>
      <c r="S301" s="217">
        <v>0</v>
      </c>
      <c r="T301" s="217">
        <v>0</v>
      </c>
      <c r="U301" s="217">
        <v>0</v>
      </c>
      <c r="V301" s="217">
        <v>0</v>
      </c>
      <c r="W301" s="217">
        <v>0</v>
      </c>
      <c r="X301" s="217">
        <v>0</v>
      </c>
      <c r="Y301" s="252">
        <v>0</v>
      </c>
      <c r="Z301" s="168">
        <f t="shared" si="138"/>
        <v>0</v>
      </c>
      <c r="AA301" s="170">
        <f t="shared" si="139"/>
        <v>0</v>
      </c>
      <c r="AB301" s="795">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796">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069">
        <f t="shared" si="140"/>
        <v>0</v>
      </c>
      <c r="AE301" s="784">
        <f>SUMPRODUCT($B$74:$L$74,B301:L301)</f>
        <v>0</v>
      </c>
      <c r="AF301" s="784">
        <f>SUMPRODUCT($O$74:$Y$74,O301:Y301)</f>
        <v>0</v>
      </c>
      <c r="AG301" s="784">
        <f>SUM(AE301:AF301)</f>
        <v>0</v>
      </c>
      <c r="AH301" s="1015">
        <f t="shared" si="144"/>
        <v>0</v>
      </c>
      <c r="AI301" s="784">
        <f t="shared" si="145"/>
        <v>0</v>
      </c>
    </row>
    <row r="302" spans="1:35" x14ac:dyDescent="0.2">
      <c r="A302" s="202">
        <v>2023</v>
      </c>
      <c r="B302" s="216">
        <v>0</v>
      </c>
      <c r="C302" s="217">
        <v>0</v>
      </c>
      <c r="D302" s="217">
        <v>0</v>
      </c>
      <c r="E302" s="217">
        <v>0</v>
      </c>
      <c r="F302" s="217">
        <v>0</v>
      </c>
      <c r="G302" s="217">
        <v>0</v>
      </c>
      <c r="H302" s="217">
        <v>0</v>
      </c>
      <c r="I302" s="217">
        <v>0</v>
      </c>
      <c r="J302" s="217">
        <v>0</v>
      </c>
      <c r="K302" s="217">
        <v>0</v>
      </c>
      <c r="L302" s="252">
        <v>0</v>
      </c>
      <c r="M302" s="168">
        <f t="shared" si="136"/>
        <v>0</v>
      </c>
      <c r="N302" s="170">
        <f t="shared" si="137"/>
        <v>0</v>
      </c>
      <c r="O302" s="216">
        <v>0</v>
      </c>
      <c r="P302" s="217">
        <v>0</v>
      </c>
      <c r="Q302" s="217">
        <v>0</v>
      </c>
      <c r="R302" s="217">
        <v>0</v>
      </c>
      <c r="S302" s="217">
        <v>0</v>
      </c>
      <c r="T302" s="217">
        <v>0</v>
      </c>
      <c r="U302" s="217">
        <v>0</v>
      </c>
      <c r="V302" s="217">
        <v>0</v>
      </c>
      <c r="W302" s="217">
        <v>0</v>
      </c>
      <c r="X302" s="217">
        <v>0</v>
      </c>
      <c r="Y302" s="252">
        <v>0</v>
      </c>
      <c r="Z302" s="168">
        <f t="shared" si="138"/>
        <v>0</v>
      </c>
      <c r="AA302" s="170">
        <f t="shared" si="139"/>
        <v>0</v>
      </c>
      <c r="AB302" s="795">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796">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069">
        <f t="shared" si="140"/>
        <v>0</v>
      </c>
      <c r="AE302" s="784">
        <f t="shared" ref="AE302:AE329" si="146">SUMPRODUCT($B$74:$L$74,B302:L302)</f>
        <v>0</v>
      </c>
      <c r="AF302" s="784">
        <f t="shared" ref="AF302:AF329" si="147">SUMPRODUCT($O$74:$Y$74,O302:Y302)</f>
        <v>0</v>
      </c>
      <c r="AG302" s="784">
        <f t="shared" ref="AG302:AG329" si="148">SUM(AE302:AF302)</f>
        <v>0</v>
      </c>
      <c r="AH302" s="1015">
        <f t="shared" si="144"/>
        <v>0</v>
      </c>
      <c r="AI302" s="784">
        <f t="shared" si="145"/>
        <v>0</v>
      </c>
    </row>
    <row r="303" spans="1:35" x14ac:dyDescent="0.2">
      <c r="A303" s="202">
        <v>2024</v>
      </c>
      <c r="B303" s="216">
        <v>0</v>
      </c>
      <c r="C303" s="217">
        <v>0</v>
      </c>
      <c r="D303" s="217">
        <v>0</v>
      </c>
      <c r="E303" s="217">
        <v>0</v>
      </c>
      <c r="F303" s="217">
        <v>0</v>
      </c>
      <c r="G303" s="217">
        <v>0</v>
      </c>
      <c r="H303" s="217">
        <v>0</v>
      </c>
      <c r="I303" s="217">
        <v>0</v>
      </c>
      <c r="J303" s="217">
        <v>0</v>
      </c>
      <c r="K303" s="217">
        <v>0</v>
      </c>
      <c r="L303" s="252">
        <v>0</v>
      </c>
      <c r="M303" s="168">
        <f t="shared" si="136"/>
        <v>0</v>
      </c>
      <c r="N303" s="170">
        <f t="shared" si="137"/>
        <v>0</v>
      </c>
      <c r="O303" s="216">
        <v>0</v>
      </c>
      <c r="P303" s="217">
        <v>0</v>
      </c>
      <c r="Q303" s="217">
        <v>0</v>
      </c>
      <c r="R303" s="217">
        <v>0</v>
      </c>
      <c r="S303" s="217">
        <v>0</v>
      </c>
      <c r="T303" s="217">
        <v>0</v>
      </c>
      <c r="U303" s="217">
        <v>0</v>
      </c>
      <c r="V303" s="217">
        <v>0</v>
      </c>
      <c r="W303" s="217">
        <v>0</v>
      </c>
      <c r="X303" s="217">
        <v>0</v>
      </c>
      <c r="Y303" s="252">
        <v>0</v>
      </c>
      <c r="Z303" s="168">
        <f t="shared" si="138"/>
        <v>0</v>
      </c>
      <c r="AA303" s="170">
        <f t="shared" si="139"/>
        <v>0</v>
      </c>
      <c r="AB303" s="795">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796">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069">
        <f t="shared" si="140"/>
        <v>0</v>
      </c>
      <c r="AE303" s="784">
        <f t="shared" si="146"/>
        <v>0</v>
      </c>
      <c r="AF303" s="784">
        <f t="shared" si="147"/>
        <v>0</v>
      </c>
      <c r="AG303" s="784">
        <f t="shared" si="148"/>
        <v>0</v>
      </c>
      <c r="AH303" s="1015">
        <f t="shared" si="144"/>
        <v>0</v>
      </c>
      <c r="AI303" s="784">
        <f t="shared" si="145"/>
        <v>0</v>
      </c>
    </row>
    <row r="304" spans="1:35" ht="13.5" thickBot="1" x14ac:dyDescent="0.25">
      <c r="A304" s="200">
        <v>2025</v>
      </c>
      <c r="B304" s="218">
        <v>0</v>
      </c>
      <c r="C304" s="219">
        <v>0</v>
      </c>
      <c r="D304" s="219">
        <v>0</v>
      </c>
      <c r="E304" s="219">
        <v>0</v>
      </c>
      <c r="F304" s="219">
        <v>0</v>
      </c>
      <c r="G304" s="219">
        <v>0</v>
      </c>
      <c r="H304" s="219">
        <v>0</v>
      </c>
      <c r="I304" s="219">
        <v>0</v>
      </c>
      <c r="J304" s="219">
        <v>0</v>
      </c>
      <c r="K304" s="219">
        <v>0</v>
      </c>
      <c r="L304" s="253">
        <v>0</v>
      </c>
      <c r="M304" s="182">
        <f t="shared" si="136"/>
        <v>0</v>
      </c>
      <c r="N304" s="184">
        <f t="shared" si="137"/>
        <v>0</v>
      </c>
      <c r="O304" s="218">
        <v>0</v>
      </c>
      <c r="P304" s="219">
        <v>0</v>
      </c>
      <c r="Q304" s="219">
        <v>0</v>
      </c>
      <c r="R304" s="219">
        <v>0</v>
      </c>
      <c r="S304" s="219">
        <v>0</v>
      </c>
      <c r="T304" s="219">
        <v>0</v>
      </c>
      <c r="U304" s="219">
        <v>0</v>
      </c>
      <c r="V304" s="219">
        <v>0</v>
      </c>
      <c r="W304" s="219">
        <v>0</v>
      </c>
      <c r="X304" s="219">
        <v>0</v>
      </c>
      <c r="Y304" s="253">
        <v>0</v>
      </c>
      <c r="Z304" s="182">
        <f t="shared" si="138"/>
        <v>0</v>
      </c>
      <c r="AA304" s="184">
        <f t="shared" si="139"/>
        <v>0</v>
      </c>
      <c r="AB304" s="795">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796">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069">
        <f t="shared" si="140"/>
        <v>0</v>
      </c>
      <c r="AE304" s="784">
        <f t="shared" si="146"/>
        <v>0</v>
      </c>
      <c r="AF304" s="784">
        <f t="shared" si="147"/>
        <v>0</v>
      </c>
      <c r="AG304" s="784">
        <f t="shared" si="148"/>
        <v>0</v>
      </c>
      <c r="AH304" s="1015">
        <f t="shared" si="144"/>
        <v>0</v>
      </c>
      <c r="AI304" s="784">
        <f t="shared" si="145"/>
        <v>0</v>
      </c>
    </row>
    <row r="305" spans="1:35" x14ac:dyDescent="0.2">
      <c r="A305" s="201">
        <v>2026</v>
      </c>
      <c r="B305" s="214">
        <v>0</v>
      </c>
      <c r="C305" s="215">
        <v>0</v>
      </c>
      <c r="D305" s="215">
        <v>0</v>
      </c>
      <c r="E305" s="215">
        <v>0</v>
      </c>
      <c r="F305" s="215">
        <v>0</v>
      </c>
      <c r="G305" s="215">
        <v>0</v>
      </c>
      <c r="H305" s="215">
        <v>0</v>
      </c>
      <c r="I305" s="215">
        <v>0</v>
      </c>
      <c r="J305" s="215">
        <v>0</v>
      </c>
      <c r="K305" s="215">
        <v>0</v>
      </c>
      <c r="L305" s="251">
        <v>0</v>
      </c>
      <c r="M305" s="154">
        <f t="shared" si="136"/>
        <v>0</v>
      </c>
      <c r="N305" s="156">
        <f t="shared" si="137"/>
        <v>0</v>
      </c>
      <c r="O305" s="214">
        <v>0</v>
      </c>
      <c r="P305" s="215">
        <v>0</v>
      </c>
      <c r="Q305" s="215">
        <v>0</v>
      </c>
      <c r="R305" s="215">
        <v>0</v>
      </c>
      <c r="S305" s="215">
        <v>0</v>
      </c>
      <c r="T305" s="215">
        <v>0</v>
      </c>
      <c r="U305" s="215">
        <v>0</v>
      </c>
      <c r="V305" s="215">
        <v>0</v>
      </c>
      <c r="W305" s="215">
        <v>0</v>
      </c>
      <c r="X305" s="215">
        <v>0</v>
      </c>
      <c r="Y305" s="251">
        <v>0</v>
      </c>
      <c r="Z305" s="154">
        <f t="shared" si="138"/>
        <v>0</v>
      </c>
      <c r="AA305" s="156">
        <f t="shared" si="139"/>
        <v>0</v>
      </c>
      <c r="AB305" s="795">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796">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069">
        <f t="shared" si="140"/>
        <v>0</v>
      </c>
      <c r="AE305" s="784">
        <f t="shared" si="146"/>
        <v>0</v>
      </c>
      <c r="AF305" s="784">
        <f t="shared" si="147"/>
        <v>0</v>
      </c>
      <c r="AG305" s="784">
        <f t="shared" si="148"/>
        <v>0</v>
      </c>
      <c r="AH305" s="1015">
        <f t="shared" si="144"/>
        <v>0</v>
      </c>
      <c r="AI305" s="784">
        <f t="shared" si="145"/>
        <v>0</v>
      </c>
    </row>
    <row r="306" spans="1:35" x14ac:dyDescent="0.2">
      <c r="A306" s="202">
        <v>2027</v>
      </c>
      <c r="B306" s="216">
        <v>0</v>
      </c>
      <c r="C306" s="217">
        <v>0</v>
      </c>
      <c r="D306" s="217">
        <v>0</v>
      </c>
      <c r="E306" s="217">
        <v>0</v>
      </c>
      <c r="F306" s="217">
        <v>0</v>
      </c>
      <c r="G306" s="217">
        <v>0</v>
      </c>
      <c r="H306" s="217">
        <v>0</v>
      </c>
      <c r="I306" s="217">
        <v>0</v>
      </c>
      <c r="J306" s="217">
        <v>0</v>
      </c>
      <c r="K306" s="217">
        <v>0</v>
      </c>
      <c r="L306" s="252">
        <v>0</v>
      </c>
      <c r="M306" s="168">
        <f t="shared" si="136"/>
        <v>0</v>
      </c>
      <c r="N306" s="170">
        <f t="shared" si="137"/>
        <v>0</v>
      </c>
      <c r="O306" s="216">
        <v>0</v>
      </c>
      <c r="P306" s="217">
        <v>0</v>
      </c>
      <c r="Q306" s="217">
        <v>0</v>
      </c>
      <c r="R306" s="217">
        <v>0</v>
      </c>
      <c r="S306" s="217">
        <v>0</v>
      </c>
      <c r="T306" s="217">
        <v>0</v>
      </c>
      <c r="U306" s="217">
        <v>0</v>
      </c>
      <c r="V306" s="217">
        <v>0</v>
      </c>
      <c r="W306" s="217">
        <v>0</v>
      </c>
      <c r="X306" s="217">
        <v>0</v>
      </c>
      <c r="Y306" s="252">
        <v>0</v>
      </c>
      <c r="Z306" s="168">
        <f t="shared" si="138"/>
        <v>0</v>
      </c>
      <c r="AA306" s="170">
        <f t="shared" si="139"/>
        <v>0</v>
      </c>
      <c r="AB306" s="795">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796">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069">
        <f t="shared" si="140"/>
        <v>0</v>
      </c>
      <c r="AE306" s="784">
        <f t="shared" si="146"/>
        <v>0</v>
      </c>
      <c r="AF306" s="784">
        <f t="shared" si="147"/>
        <v>0</v>
      </c>
      <c r="AG306" s="784">
        <f t="shared" si="148"/>
        <v>0</v>
      </c>
      <c r="AH306" s="1015">
        <f t="shared" si="144"/>
        <v>0</v>
      </c>
      <c r="AI306" s="784">
        <f t="shared" si="145"/>
        <v>0</v>
      </c>
    </row>
    <row r="307" spans="1:35" x14ac:dyDescent="0.2">
      <c r="A307" s="202">
        <v>2028</v>
      </c>
      <c r="B307" s="216">
        <v>0</v>
      </c>
      <c r="C307" s="217">
        <v>0</v>
      </c>
      <c r="D307" s="217">
        <v>0</v>
      </c>
      <c r="E307" s="217">
        <v>0</v>
      </c>
      <c r="F307" s="217">
        <v>0</v>
      </c>
      <c r="G307" s="217">
        <v>0</v>
      </c>
      <c r="H307" s="217">
        <v>0</v>
      </c>
      <c r="I307" s="217">
        <v>0</v>
      </c>
      <c r="J307" s="217">
        <v>0</v>
      </c>
      <c r="K307" s="217">
        <v>0</v>
      </c>
      <c r="L307" s="252">
        <v>0</v>
      </c>
      <c r="M307" s="168">
        <f t="shared" si="136"/>
        <v>0</v>
      </c>
      <c r="N307" s="170">
        <f t="shared" si="137"/>
        <v>0</v>
      </c>
      <c r="O307" s="216">
        <v>0</v>
      </c>
      <c r="P307" s="217">
        <v>0</v>
      </c>
      <c r="Q307" s="217">
        <v>0</v>
      </c>
      <c r="R307" s="217">
        <v>0</v>
      </c>
      <c r="S307" s="217">
        <v>0</v>
      </c>
      <c r="T307" s="217">
        <v>0</v>
      </c>
      <c r="U307" s="217">
        <v>0</v>
      </c>
      <c r="V307" s="217">
        <v>0</v>
      </c>
      <c r="W307" s="217">
        <v>0</v>
      </c>
      <c r="X307" s="217">
        <v>0</v>
      </c>
      <c r="Y307" s="252">
        <v>0</v>
      </c>
      <c r="Z307" s="168">
        <f t="shared" si="138"/>
        <v>0</v>
      </c>
      <c r="AA307" s="170">
        <f t="shared" si="139"/>
        <v>0</v>
      </c>
      <c r="AB307" s="795">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796">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069">
        <f t="shared" si="140"/>
        <v>0</v>
      </c>
      <c r="AE307" s="784">
        <f t="shared" si="146"/>
        <v>0</v>
      </c>
      <c r="AF307" s="784">
        <f t="shared" si="147"/>
        <v>0</v>
      </c>
      <c r="AG307" s="784">
        <f t="shared" si="148"/>
        <v>0</v>
      </c>
      <c r="AH307" s="1015">
        <f t="shared" si="144"/>
        <v>0</v>
      </c>
      <c r="AI307" s="784">
        <f t="shared" si="145"/>
        <v>0</v>
      </c>
    </row>
    <row r="308" spans="1:35" x14ac:dyDescent="0.2">
      <c r="A308" s="202">
        <v>2029</v>
      </c>
      <c r="B308" s="216">
        <v>0</v>
      </c>
      <c r="C308" s="217">
        <v>0</v>
      </c>
      <c r="D308" s="217">
        <v>0</v>
      </c>
      <c r="E308" s="217">
        <v>0</v>
      </c>
      <c r="F308" s="217">
        <v>0</v>
      </c>
      <c r="G308" s="217">
        <v>0</v>
      </c>
      <c r="H308" s="217">
        <v>0</v>
      </c>
      <c r="I308" s="217">
        <v>0</v>
      </c>
      <c r="J308" s="217">
        <v>0</v>
      </c>
      <c r="K308" s="217">
        <v>0</v>
      </c>
      <c r="L308" s="252">
        <v>0</v>
      </c>
      <c r="M308" s="168">
        <f t="shared" si="136"/>
        <v>0</v>
      </c>
      <c r="N308" s="170">
        <f t="shared" si="137"/>
        <v>0</v>
      </c>
      <c r="O308" s="216">
        <v>0</v>
      </c>
      <c r="P308" s="217">
        <v>0</v>
      </c>
      <c r="Q308" s="217">
        <v>0</v>
      </c>
      <c r="R308" s="217">
        <v>0</v>
      </c>
      <c r="S308" s="217">
        <v>0</v>
      </c>
      <c r="T308" s="217">
        <v>0</v>
      </c>
      <c r="U308" s="217">
        <v>0</v>
      </c>
      <c r="V308" s="217">
        <v>0</v>
      </c>
      <c r="W308" s="217">
        <v>0</v>
      </c>
      <c r="X308" s="217">
        <v>0</v>
      </c>
      <c r="Y308" s="252">
        <v>0</v>
      </c>
      <c r="Z308" s="168">
        <f t="shared" si="138"/>
        <v>0</v>
      </c>
      <c r="AA308" s="170">
        <f t="shared" si="139"/>
        <v>0</v>
      </c>
      <c r="AB308" s="795">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796">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069">
        <f t="shared" si="140"/>
        <v>0</v>
      </c>
      <c r="AE308" s="784">
        <f t="shared" si="146"/>
        <v>0</v>
      </c>
      <c r="AF308" s="784">
        <f t="shared" si="147"/>
        <v>0</v>
      </c>
      <c r="AG308" s="784">
        <f t="shared" si="148"/>
        <v>0</v>
      </c>
      <c r="AH308" s="1015">
        <f t="shared" si="144"/>
        <v>0</v>
      </c>
      <c r="AI308" s="784">
        <f t="shared" si="145"/>
        <v>0</v>
      </c>
    </row>
    <row r="309" spans="1:35" ht="13.5" thickBot="1" x14ac:dyDescent="0.25">
      <c r="A309" s="200">
        <v>2030</v>
      </c>
      <c r="B309" s="218">
        <v>0</v>
      </c>
      <c r="C309" s="219">
        <v>0</v>
      </c>
      <c r="D309" s="219">
        <v>0</v>
      </c>
      <c r="E309" s="219">
        <v>0</v>
      </c>
      <c r="F309" s="219">
        <v>0</v>
      </c>
      <c r="G309" s="219">
        <v>0</v>
      </c>
      <c r="H309" s="219">
        <v>0</v>
      </c>
      <c r="I309" s="219">
        <v>0</v>
      </c>
      <c r="J309" s="219">
        <v>0</v>
      </c>
      <c r="K309" s="219">
        <v>0</v>
      </c>
      <c r="L309" s="253">
        <v>0</v>
      </c>
      <c r="M309" s="182">
        <f t="shared" si="136"/>
        <v>0</v>
      </c>
      <c r="N309" s="184">
        <f t="shared" si="137"/>
        <v>0</v>
      </c>
      <c r="O309" s="218">
        <v>0</v>
      </c>
      <c r="P309" s="219">
        <v>0</v>
      </c>
      <c r="Q309" s="219">
        <v>0</v>
      </c>
      <c r="R309" s="219">
        <v>0</v>
      </c>
      <c r="S309" s="219">
        <v>0</v>
      </c>
      <c r="T309" s="219">
        <v>0</v>
      </c>
      <c r="U309" s="219">
        <v>0</v>
      </c>
      <c r="V309" s="219">
        <v>0</v>
      </c>
      <c r="W309" s="219">
        <v>0</v>
      </c>
      <c r="X309" s="219">
        <v>0</v>
      </c>
      <c r="Y309" s="253">
        <v>0</v>
      </c>
      <c r="Z309" s="182">
        <f t="shared" si="138"/>
        <v>0</v>
      </c>
      <c r="AA309" s="184">
        <f t="shared" si="139"/>
        <v>0</v>
      </c>
      <c r="AB309" s="795">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796">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069">
        <f t="shared" si="140"/>
        <v>0</v>
      </c>
      <c r="AE309" s="784">
        <f t="shared" si="146"/>
        <v>0</v>
      </c>
      <c r="AF309" s="784">
        <f t="shared" si="147"/>
        <v>0</v>
      </c>
      <c r="AG309" s="784">
        <f t="shared" si="148"/>
        <v>0</v>
      </c>
      <c r="AH309" s="1015">
        <f t="shared" si="144"/>
        <v>0</v>
      </c>
      <c r="AI309" s="784">
        <f t="shared" si="145"/>
        <v>0</v>
      </c>
    </row>
    <row r="310" spans="1:35" x14ac:dyDescent="0.2">
      <c r="A310" s="201">
        <v>2031</v>
      </c>
      <c r="B310" s="214">
        <v>0</v>
      </c>
      <c r="C310" s="215">
        <v>0</v>
      </c>
      <c r="D310" s="215">
        <v>0</v>
      </c>
      <c r="E310" s="215">
        <v>0</v>
      </c>
      <c r="F310" s="215">
        <v>0</v>
      </c>
      <c r="G310" s="215">
        <v>0</v>
      </c>
      <c r="H310" s="215">
        <v>0</v>
      </c>
      <c r="I310" s="215">
        <v>0</v>
      </c>
      <c r="J310" s="215">
        <v>0</v>
      </c>
      <c r="K310" s="215">
        <v>0</v>
      </c>
      <c r="L310" s="251">
        <v>0</v>
      </c>
      <c r="M310" s="154">
        <f t="shared" si="136"/>
        <v>0</v>
      </c>
      <c r="N310" s="156">
        <f t="shared" si="137"/>
        <v>0</v>
      </c>
      <c r="O310" s="214">
        <v>0</v>
      </c>
      <c r="P310" s="215">
        <v>0</v>
      </c>
      <c r="Q310" s="215">
        <v>0</v>
      </c>
      <c r="R310" s="215">
        <v>0</v>
      </c>
      <c r="S310" s="215">
        <v>0</v>
      </c>
      <c r="T310" s="215">
        <v>0</v>
      </c>
      <c r="U310" s="215">
        <v>0</v>
      </c>
      <c r="V310" s="215">
        <v>0</v>
      </c>
      <c r="W310" s="215">
        <v>0</v>
      </c>
      <c r="X310" s="215">
        <v>0</v>
      </c>
      <c r="Y310" s="251">
        <v>0</v>
      </c>
      <c r="Z310" s="154">
        <f t="shared" si="138"/>
        <v>0</v>
      </c>
      <c r="AA310" s="156">
        <f t="shared" si="139"/>
        <v>0</v>
      </c>
      <c r="AB310" s="795">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796">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069">
        <f t="shared" si="140"/>
        <v>0</v>
      </c>
      <c r="AE310" s="784">
        <f t="shared" si="146"/>
        <v>0</v>
      </c>
      <c r="AF310" s="784">
        <f t="shared" si="147"/>
        <v>0</v>
      </c>
      <c r="AG310" s="784">
        <f t="shared" si="148"/>
        <v>0</v>
      </c>
      <c r="AH310" s="1015">
        <f t="shared" si="144"/>
        <v>0</v>
      </c>
      <c r="AI310" s="784">
        <f t="shared" si="145"/>
        <v>0</v>
      </c>
    </row>
    <row r="311" spans="1:35" x14ac:dyDescent="0.2">
      <c r="A311" s="202">
        <v>2032</v>
      </c>
      <c r="B311" s="216">
        <v>0</v>
      </c>
      <c r="C311" s="217">
        <v>0</v>
      </c>
      <c r="D311" s="217">
        <v>0</v>
      </c>
      <c r="E311" s="217">
        <v>0</v>
      </c>
      <c r="F311" s="217">
        <v>0</v>
      </c>
      <c r="G311" s="217">
        <v>0</v>
      </c>
      <c r="H311" s="217">
        <v>0</v>
      </c>
      <c r="I311" s="217">
        <v>0</v>
      </c>
      <c r="J311" s="217">
        <v>0</v>
      </c>
      <c r="K311" s="217">
        <v>0</v>
      </c>
      <c r="L311" s="252">
        <v>0</v>
      </c>
      <c r="M311" s="168">
        <f t="shared" si="136"/>
        <v>0</v>
      </c>
      <c r="N311" s="170">
        <f t="shared" si="137"/>
        <v>0</v>
      </c>
      <c r="O311" s="216">
        <v>0</v>
      </c>
      <c r="P311" s="217">
        <v>0</v>
      </c>
      <c r="Q311" s="217">
        <v>0</v>
      </c>
      <c r="R311" s="217">
        <v>0</v>
      </c>
      <c r="S311" s="217">
        <v>0</v>
      </c>
      <c r="T311" s="217">
        <v>0</v>
      </c>
      <c r="U311" s="217">
        <v>0</v>
      </c>
      <c r="V311" s="217">
        <v>0</v>
      </c>
      <c r="W311" s="217">
        <v>0</v>
      </c>
      <c r="X311" s="217">
        <v>0</v>
      </c>
      <c r="Y311" s="252">
        <v>0</v>
      </c>
      <c r="Z311" s="168">
        <f t="shared" si="138"/>
        <v>0</v>
      </c>
      <c r="AA311" s="170">
        <f t="shared" si="139"/>
        <v>0</v>
      </c>
      <c r="AB311" s="795">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796">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069">
        <f t="shared" si="140"/>
        <v>0</v>
      </c>
      <c r="AE311" s="784">
        <f t="shared" si="146"/>
        <v>0</v>
      </c>
      <c r="AF311" s="784">
        <f t="shared" si="147"/>
        <v>0</v>
      </c>
      <c r="AG311" s="784">
        <f t="shared" si="148"/>
        <v>0</v>
      </c>
      <c r="AH311" s="1015">
        <f t="shared" si="144"/>
        <v>0</v>
      </c>
      <c r="AI311" s="784">
        <f t="shared" si="145"/>
        <v>0</v>
      </c>
    </row>
    <row r="312" spans="1:35" x14ac:dyDescent="0.2">
      <c r="A312" s="202">
        <v>2033</v>
      </c>
      <c r="B312" s="216">
        <v>0</v>
      </c>
      <c r="C312" s="217">
        <v>0</v>
      </c>
      <c r="D312" s="217">
        <v>0</v>
      </c>
      <c r="E312" s="217">
        <v>0</v>
      </c>
      <c r="F312" s="217">
        <v>0</v>
      </c>
      <c r="G312" s="217">
        <v>0</v>
      </c>
      <c r="H312" s="217">
        <v>0</v>
      </c>
      <c r="I312" s="217">
        <v>0</v>
      </c>
      <c r="J312" s="217">
        <v>0</v>
      </c>
      <c r="K312" s="217">
        <v>0</v>
      </c>
      <c r="L312" s="252">
        <v>0</v>
      </c>
      <c r="M312" s="168">
        <f t="shared" si="136"/>
        <v>0</v>
      </c>
      <c r="N312" s="170">
        <f t="shared" si="137"/>
        <v>0</v>
      </c>
      <c r="O312" s="216">
        <v>0</v>
      </c>
      <c r="P312" s="217">
        <v>0</v>
      </c>
      <c r="Q312" s="217">
        <v>0</v>
      </c>
      <c r="R312" s="217">
        <v>0</v>
      </c>
      <c r="S312" s="217">
        <v>0</v>
      </c>
      <c r="T312" s="217">
        <v>0</v>
      </c>
      <c r="U312" s="217">
        <v>0</v>
      </c>
      <c r="V312" s="217">
        <v>0</v>
      </c>
      <c r="W312" s="217">
        <v>0</v>
      </c>
      <c r="X312" s="217">
        <v>0</v>
      </c>
      <c r="Y312" s="252">
        <v>0</v>
      </c>
      <c r="Z312" s="168">
        <f t="shared" si="138"/>
        <v>0</v>
      </c>
      <c r="AA312" s="170">
        <f t="shared" si="139"/>
        <v>0</v>
      </c>
      <c r="AB312" s="795">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796">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069">
        <f>AB312*AH312+AC312*AI312</f>
        <v>0</v>
      </c>
      <c r="AE312" s="784">
        <f t="shared" si="146"/>
        <v>0</v>
      </c>
      <c r="AF312" s="784">
        <f t="shared" si="147"/>
        <v>0</v>
      </c>
      <c r="AG312" s="784">
        <f t="shared" si="148"/>
        <v>0</v>
      </c>
      <c r="AH312" s="1015">
        <f t="shared" si="144"/>
        <v>0</v>
      </c>
      <c r="AI312" s="784">
        <f t="shared" si="145"/>
        <v>0</v>
      </c>
    </row>
    <row r="313" spans="1:35" x14ac:dyDescent="0.2">
      <c r="A313" s="202">
        <v>2034</v>
      </c>
      <c r="B313" s="216">
        <v>0</v>
      </c>
      <c r="C313" s="217">
        <v>0</v>
      </c>
      <c r="D313" s="217">
        <v>0</v>
      </c>
      <c r="E313" s="217">
        <v>0</v>
      </c>
      <c r="F313" s="217">
        <v>0</v>
      </c>
      <c r="G313" s="217">
        <v>0</v>
      </c>
      <c r="H313" s="217">
        <v>0</v>
      </c>
      <c r="I313" s="217">
        <v>0</v>
      </c>
      <c r="J313" s="217">
        <v>0</v>
      </c>
      <c r="K313" s="217">
        <v>0</v>
      </c>
      <c r="L313" s="252">
        <v>0</v>
      </c>
      <c r="M313" s="168">
        <f t="shared" si="136"/>
        <v>0</v>
      </c>
      <c r="N313" s="170">
        <f t="shared" si="137"/>
        <v>0</v>
      </c>
      <c r="O313" s="216">
        <v>0</v>
      </c>
      <c r="P313" s="217">
        <v>0</v>
      </c>
      <c r="Q313" s="217">
        <v>0</v>
      </c>
      <c r="R313" s="217">
        <v>0</v>
      </c>
      <c r="S313" s="217">
        <v>0</v>
      </c>
      <c r="T313" s="217">
        <v>0</v>
      </c>
      <c r="U313" s="217">
        <v>0</v>
      </c>
      <c r="V313" s="217">
        <v>0</v>
      </c>
      <c r="W313" s="217">
        <v>0</v>
      </c>
      <c r="X313" s="217">
        <v>0</v>
      </c>
      <c r="Y313" s="252">
        <v>0</v>
      </c>
      <c r="Z313" s="168">
        <f t="shared" si="138"/>
        <v>0</v>
      </c>
      <c r="AA313" s="170">
        <f t="shared" si="139"/>
        <v>0</v>
      </c>
      <c r="AB313" s="795">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796">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069">
        <f t="shared" ref="AD313:AD329" si="149">AB313*AH313+AC313*AI313</f>
        <v>0</v>
      </c>
      <c r="AE313" s="784">
        <f t="shared" si="146"/>
        <v>0</v>
      </c>
      <c r="AF313" s="784">
        <f t="shared" si="147"/>
        <v>0</v>
      </c>
      <c r="AG313" s="784">
        <f t="shared" si="148"/>
        <v>0</v>
      </c>
      <c r="AH313" s="1015">
        <f t="shared" si="144"/>
        <v>0</v>
      </c>
      <c r="AI313" s="784">
        <f t="shared" si="145"/>
        <v>0</v>
      </c>
    </row>
    <row r="314" spans="1:35" ht="13.5" thickBot="1" x14ac:dyDescent="0.25">
      <c r="A314" s="200">
        <v>2035</v>
      </c>
      <c r="B314" s="218">
        <v>0</v>
      </c>
      <c r="C314" s="219">
        <v>0</v>
      </c>
      <c r="D314" s="219">
        <v>0</v>
      </c>
      <c r="E314" s="219">
        <v>0</v>
      </c>
      <c r="F314" s="219">
        <v>0</v>
      </c>
      <c r="G314" s="219">
        <v>0</v>
      </c>
      <c r="H314" s="219">
        <v>0</v>
      </c>
      <c r="I314" s="219">
        <v>0</v>
      </c>
      <c r="J314" s="219">
        <v>0</v>
      </c>
      <c r="K314" s="219">
        <v>0</v>
      </c>
      <c r="L314" s="253">
        <v>0</v>
      </c>
      <c r="M314" s="182">
        <f t="shared" si="136"/>
        <v>0</v>
      </c>
      <c r="N314" s="184">
        <f t="shared" si="137"/>
        <v>0</v>
      </c>
      <c r="O314" s="218">
        <v>0</v>
      </c>
      <c r="P314" s="219">
        <v>0</v>
      </c>
      <c r="Q314" s="219">
        <v>0</v>
      </c>
      <c r="R314" s="219">
        <v>0</v>
      </c>
      <c r="S314" s="219">
        <v>0</v>
      </c>
      <c r="T314" s="219">
        <v>0</v>
      </c>
      <c r="U314" s="219">
        <v>0</v>
      </c>
      <c r="V314" s="219">
        <v>0</v>
      </c>
      <c r="W314" s="219">
        <v>0</v>
      </c>
      <c r="X314" s="219">
        <v>0</v>
      </c>
      <c r="Y314" s="253">
        <v>0</v>
      </c>
      <c r="Z314" s="182">
        <f t="shared" si="138"/>
        <v>0</v>
      </c>
      <c r="AA314" s="184">
        <f t="shared" si="139"/>
        <v>0</v>
      </c>
      <c r="AB314" s="795">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796">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069">
        <f t="shared" si="149"/>
        <v>0</v>
      </c>
      <c r="AE314" s="784">
        <f t="shared" si="146"/>
        <v>0</v>
      </c>
      <c r="AF314" s="784">
        <f t="shared" si="147"/>
        <v>0</v>
      </c>
      <c r="AG314" s="784">
        <f t="shared" si="148"/>
        <v>0</v>
      </c>
      <c r="AH314" s="1015">
        <f t="shared" si="144"/>
        <v>0</v>
      </c>
      <c r="AI314" s="784">
        <f t="shared" si="145"/>
        <v>0</v>
      </c>
    </row>
    <row r="315" spans="1:35" x14ac:dyDescent="0.2">
      <c r="A315" s="201">
        <v>2036</v>
      </c>
      <c r="B315" s="214">
        <v>0</v>
      </c>
      <c r="C315" s="215">
        <v>0</v>
      </c>
      <c r="D315" s="215">
        <v>0</v>
      </c>
      <c r="E315" s="215">
        <v>0</v>
      </c>
      <c r="F315" s="215">
        <v>0</v>
      </c>
      <c r="G315" s="215">
        <v>0</v>
      </c>
      <c r="H315" s="215">
        <v>0</v>
      </c>
      <c r="I315" s="215">
        <v>0</v>
      </c>
      <c r="J315" s="215">
        <v>0</v>
      </c>
      <c r="K315" s="215">
        <v>0</v>
      </c>
      <c r="L315" s="251">
        <v>0</v>
      </c>
      <c r="M315" s="154">
        <f t="shared" si="136"/>
        <v>0</v>
      </c>
      <c r="N315" s="156">
        <f t="shared" si="137"/>
        <v>0</v>
      </c>
      <c r="O315" s="214">
        <v>0</v>
      </c>
      <c r="P315" s="215">
        <v>0</v>
      </c>
      <c r="Q315" s="215">
        <v>0</v>
      </c>
      <c r="R315" s="215">
        <v>0</v>
      </c>
      <c r="S315" s="215">
        <v>0</v>
      </c>
      <c r="T315" s="215">
        <v>0</v>
      </c>
      <c r="U315" s="215">
        <v>0</v>
      </c>
      <c r="V315" s="215">
        <v>0</v>
      </c>
      <c r="W315" s="215">
        <v>0</v>
      </c>
      <c r="X315" s="215">
        <v>0</v>
      </c>
      <c r="Y315" s="251">
        <v>0</v>
      </c>
      <c r="Z315" s="154">
        <f t="shared" si="138"/>
        <v>0</v>
      </c>
      <c r="AA315" s="156">
        <f t="shared" si="139"/>
        <v>0</v>
      </c>
      <c r="AB315" s="795">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796">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069">
        <f t="shared" si="149"/>
        <v>0</v>
      </c>
      <c r="AE315" s="784">
        <f t="shared" si="146"/>
        <v>0</v>
      </c>
      <c r="AF315" s="784">
        <f t="shared" si="147"/>
        <v>0</v>
      </c>
      <c r="AG315" s="784">
        <f t="shared" si="148"/>
        <v>0</v>
      </c>
      <c r="AH315" s="1015">
        <f t="shared" si="144"/>
        <v>0</v>
      </c>
      <c r="AI315" s="784">
        <f t="shared" si="145"/>
        <v>0</v>
      </c>
    </row>
    <row r="316" spans="1:35" x14ac:dyDescent="0.2">
      <c r="A316" s="202">
        <v>2037</v>
      </c>
      <c r="B316" s="216">
        <v>0</v>
      </c>
      <c r="C316" s="217">
        <v>0</v>
      </c>
      <c r="D316" s="217">
        <v>0</v>
      </c>
      <c r="E316" s="217">
        <v>0</v>
      </c>
      <c r="F316" s="217">
        <v>0</v>
      </c>
      <c r="G316" s="217">
        <v>0</v>
      </c>
      <c r="H316" s="217">
        <v>0</v>
      </c>
      <c r="I316" s="217">
        <v>0</v>
      </c>
      <c r="J316" s="217">
        <v>0</v>
      </c>
      <c r="K316" s="217">
        <v>0</v>
      </c>
      <c r="L316" s="252">
        <v>0</v>
      </c>
      <c r="M316" s="168">
        <f t="shared" si="136"/>
        <v>0</v>
      </c>
      <c r="N316" s="170">
        <f t="shared" si="137"/>
        <v>0</v>
      </c>
      <c r="O316" s="216">
        <v>0</v>
      </c>
      <c r="P316" s="217">
        <v>0</v>
      </c>
      <c r="Q316" s="217">
        <v>0</v>
      </c>
      <c r="R316" s="217">
        <v>0</v>
      </c>
      <c r="S316" s="217">
        <v>0</v>
      </c>
      <c r="T316" s="217">
        <v>0</v>
      </c>
      <c r="U316" s="217">
        <v>0</v>
      </c>
      <c r="V316" s="217">
        <v>0</v>
      </c>
      <c r="W316" s="217">
        <v>0</v>
      </c>
      <c r="X316" s="217">
        <v>0</v>
      </c>
      <c r="Y316" s="252">
        <v>0</v>
      </c>
      <c r="Z316" s="168">
        <f t="shared" si="138"/>
        <v>0</v>
      </c>
      <c r="AA316" s="170">
        <f t="shared" si="139"/>
        <v>0</v>
      </c>
      <c r="AB316" s="795">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796">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069">
        <f t="shared" si="149"/>
        <v>0</v>
      </c>
      <c r="AE316" s="784">
        <f t="shared" si="146"/>
        <v>0</v>
      </c>
      <c r="AF316" s="784">
        <f t="shared" si="147"/>
        <v>0</v>
      </c>
      <c r="AG316" s="784">
        <f t="shared" si="148"/>
        <v>0</v>
      </c>
      <c r="AH316" s="1015">
        <f t="shared" si="144"/>
        <v>0</v>
      </c>
      <c r="AI316" s="784">
        <f t="shared" si="145"/>
        <v>0</v>
      </c>
    </row>
    <row r="317" spans="1:35" x14ac:dyDescent="0.2">
      <c r="A317" s="202">
        <v>2038</v>
      </c>
      <c r="B317" s="216">
        <v>0</v>
      </c>
      <c r="C317" s="217">
        <v>0</v>
      </c>
      <c r="D317" s="217">
        <v>0</v>
      </c>
      <c r="E317" s="217">
        <v>0</v>
      </c>
      <c r="F317" s="217">
        <v>0</v>
      </c>
      <c r="G317" s="217">
        <v>0</v>
      </c>
      <c r="H317" s="217">
        <v>0</v>
      </c>
      <c r="I317" s="217">
        <v>0</v>
      </c>
      <c r="J317" s="217">
        <v>0</v>
      </c>
      <c r="K317" s="217">
        <v>0</v>
      </c>
      <c r="L317" s="252">
        <v>0</v>
      </c>
      <c r="M317" s="168">
        <f t="shared" si="136"/>
        <v>0</v>
      </c>
      <c r="N317" s="170">
        <f t="shared" si="137"/>
        <v>0</v>
      </c>
      <c r="O317" s="216">
        <v>0</v>
      </c>
      <c r="P317" s="217">
        <v>0</v>
      </c>
      <c r="Q317" s="217">
        <v>0</v>
      </c>
      <c r="R317" s="217">
        <v>0</v>
      </c>
      <c r="S317" s="217">
        <v>0</v>
      </c>
      <c r="T317" s="217">
        <v>0</v>
      </c>
      <c r="U317" s="217">
        <v>0</v>
      </c>
      <c r="V317" s="217">
        <v>0</v>
      </c>
      <c r="W317" s="217">
        <v>0</v>
      </c>
      <c r="X317" s="217">
        <v>0</v>
      </c>
      <c r="Y317" s="252">
        <v>0</v>
      </c>
      <c r="Z317" s="168">
        <f t="shared" si="138"/>
        <v>0</v>
      </c>
      <c r="AA317" s="170">
        <f t="shared" si="139"/>
        <v>0</v>
      </c>
      <c r="AB317" s="795">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796">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069">
        <f t="shared" si="149"/>
        <v>0</v>
      </c>
      <c r="AE317" s="784">
        <f t="shared" si="146"/>
        <v>0</v>
      </c>
      <c r="AF317" s="784">
        <f t="shared" si="147"/>
        <v>0</v>
      </c>
      <c r="AG317" s="784">
        <f t="shared" si="148"/>
        <v>0</v>
      </c>
      <c r="AH317" s="1015">
        <f t="shared" si="144"/>
        <v>0</v>
      </c>
      <c r="AI317" s="784">
        <f t="shared" si="145"/>
        <v>0</v>
      </c>
    </row>
    <row r="318" spans="1:35" x14ac:dyDescent="0.2">
      <c r="A318" s="202">
        <v>2039</v>
      </c>
      <c r="B318" s="216">
        <v>0</v>
      </c>
      <c r="C318" s="217">
        <v>0</v>
      </c>
      <c r="D318" s="217">
        <v>0</v>
      </c>
      <c r="E318" s="217">
        <v>0</v>
      </c>
      <c r="F318" s="217">
        <v>0</v>
      </c>
      <c r="G318" s="217">
        <v>0</v>
      </c>
      <c r="H318" s="217">
        <v>0</v>
      </c>
      <c r="I318" s="217">
        <v>0</v>
      </c>
      <c r="J318" s="217">
        <v>0</v>
      </c>
      <c r="K318" s="217">
        <v>0</v>
      </c>
      <c r="L318" s="252">
        <v>0</v>
      </c>
      <c r="M318" s="168">
        <f t="shared" si="136"/>
        <v>0</v>
      </c>
      <c r="N318" s="170">
        <f t="shared" si="137"/>
        <v>0</v>
      </c>
      <c r="O318" s="216">
        <v>0</v>
      </c>
      <c r="P318" s="217">
        <v>0</v>
      </c>
      <c r="Q318" s="217">
        <v>0</v>
      </c>
      <c r="R318" s="217">
        <v>0</v>
      </c>
      <c r="S318" s="217">
        <v>0</v>
      </c>
      <c r="T318" s="217">
        <v>0</v>
      </c>
      <c r="U318" s="217">
        <v>0</v>
      </c>
      <c r="V318" s="217">
        <v>0</v>
      </c>
      <c r="W318" s="217">
        <v>0</v>
      </c>
      <c r="X318" s="217">
        <v>0</v>
      </c>
      <c r="Y318" s="252">
        <v>0</v>
      </c>
      <c r="Z318" s="168">
        <f t="shared" si="138"/>
        <v>0</v>
      </c>
      <c r="AA318" s="170">
        <f t="shared" si="139"/>
        <v>0</v>
      </c>
      <c r="AB318" s="795">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796">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069">
        <f t="shared" si="149"/>
        <v>0</v>
      </c>
      <c r="AE318" s="784">
        <f t="shared" si="146"/>
        <v>0</v>
      </c>
      <c r="AF318" s="784">
        <f t="shared" si="147"/>
        <v>0</v>
      </c>
      <c r="AG318" s="784">
        <f t="shared" si="148"/>
        <v>0</v>
      </c>
      <c r="AH318" s="1015">
        <f t="shared" si="144"/>
        <v>0</v>
      </c>
      <c r="AI318" s="784">
        <f t="shared" si="145"/>
        <v>0</v>
      </c>
    </row>
    <row r="319" spans="1:35" ht="13.5" thickBot="1" x14ac:dyDescent="0.25">
      <c r="A319" s="200">
        <v>2040</v>
      </c>
      <c r="B319" s="218">
        <v>0</v>
      </c>
      <c r="C319" s="219">
        <v>0</v>
      </c>
      <c r="D319" s="219">
        <v>0</v>
      </c>
      <c r="E319" s="219">
        <v>0</v>
      </c>
      <c r="F319" s="219">
        <v>0</v>
      </c>
      <c r="G319" s="219">
        <v>0</v>
      </c>
      <c r="H319" s="219">
        <v>0</v>
      </c>
      <c r="I319" s="219">
        <v>0</v>
      </c>
      <c r="J319" s="219">
        <v>0</v>
      </c>
      <c r="K319" s="219">
        <v>0</v>
      </c>
      <c r="L319" s="253">
        <v>0</v>
      </c>
      <c r="M319" s="182">
        <f t="shared" si="136"/>
        <v>0</v>
      </c>
      <c r="N319" s="184">
        <f t="shared" si="137"/>
        <v>0</v>
      </c>
      <c r="O319" s="218">
        <v>0</v>
      </c>
      <c r="P319" s="219">
        <v>0</v>
      </c>
      <c r="Q319" s="219">
        <v>0</v>
      </c>
      <c r="R319" s="219">
        <v>0</v>
      </c>
      <c r="S319" s="219">
        <v>0</v>
      </c>
      <c r="T319" s="219">
        <v>0</v>
      </c>
      <c r="U319" s="219">
        <v>0</v>
      </c>
      <c r="V319" s="219">
        <v>0</v>
      </c>
      <c r="W319" s="219">
        <v>0</v>
      </c>
      <c r="X319" s="219">
        <v>0</v>
      </c>
      <c r="Y319" s="253">
        <v>0</v>
      </c>
      <c r="Z319" s="182">
        <f t="shared" si="138"/>
        <v>0</v>
      </c>
      <c r="AA319" s="184">
        <f t="shared" si="139"/>
        <v>0</v>
      </c>
      <c r="AB319" s="795">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796">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069">
        <f t="shared" si="149"/>
        <v>0</v>
      </c>
      <c r="AE319" s="784">
        <f t="shared" si="146"/>
        <v>0</v>
      </c>
      <c r="AF319" s="784">
        <f t="shared" si="147"/>
        <v>0</v>
      </c>
      <c r="AG319" s="784">
        <f t="shared" si="148"/>
        <v>0</v>
      </c>
      <c r="AH319" s="1015">
        <f t="shared" si="144"/>
        <v>0</v>
      </c>
      <c r="AI319" s="784">
        <f t="shared" si="145"/>
        <v>0</v>
      </c>
    </row>
    <row r="320" spans="1:35" x14ac:dyDescent="0.2">
      <c r="A320" s="201">
        <v>2041</v>
      </c>
      <c r="B320" s="214">
        <v>0</v>
      </c>
      <c r="C320" s="215">
        <v>0</v>
      </c>
      <c r="D320" s="215">
        <v>0</v>
      </c>
      <c r="E320" s="215">
        <v>0</v>
      </c>
      <c r="F320" s="215">
        <v>0</v>
      </c>
      <c r="G320" s="215">
        <v>0</v>
      </c>
      <c r="H320" s="215">
        <v>0</v>
      </c>
      <c r="I320" s="215">
        <v>0</v>
      </c>
      <c r="J320" s="215">
        <v>0</v>
      </c>
      <c r="K320" s="215">
        <v>0</v>
      </c>
      <c r="L320" s="251">
        <v>0</v>
      </c>
      <c r="M320" s="154">
        <f t="shared" si="136"/>
        <v>0</v>
      </c>
      <c r="N320" s="156">
        <f t="shared" si="137"/>
        <v>0</v>
      </c>
      <c r="O320" s="214">
        <v>0</v>
      </c>
      <c r="P320" s="215">
        <v>0</v>
      </c>
      <c r="Q320" s="215">
        <v>0</v>
      </c>
      <c r="R320" s="215">
        <v>0</v>
      </c>
      <c r="S320" s="215">
        <v>0</v>
      </c>
      <c r="T320" s="215">
        <v>0</v>
      </c>
      <c r="U320" s="215">
        <v>0</v>
      </c>
      <c r="V320" s="215">
        <v>0</v>
      </c>
      <c r="W320" s="215">
        <v>0</v>
      </c>
      <c r="X320" s="215">
        <v>0</v>
      </c>
      <c r="Y320" s="251">
        <v>0</v>
      </c>
      <c r="Z320" s="154">
        <f t="shared" si="138"/>
        <v>0</v>
      </c>
      <c r="AA320" s="156">
        <f t="shared" si="139"/>
        <v>0</v>
      </c>
      <c r="AB320" s="795">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796">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069">
        <f t="shared" si="149"/>
        <v>0</v>
      </c>
      <c r="AE320" s="784">
        <f t="shared" si="146"/>
        <v>0</v>
      </c>
      <c r="AF320" s="784">
        <f t="shared" si="147"/>
        <v>0</v>
      </c>
      <c r="AG320" s="784">
        <f t="shared" si="148"/>
        <v>0</v>
      </c>
      <c r="AH320" s="1015">
        <f t="shared" si="144"/>
        <v>0</v>
      </c>
      <c r="AI320" s="784">
        <f t="shared" si="145"/>
        <v>0</v>
      </c>
    </row>
    <row r="321" spans="1:35" x14ac:dyDescent="0.2">
      <c r="A321" s="202">
        <v>2042</v>
      </c>
      <c r="B321" s="216">
        <v>0</v>
      </c>
      <c r="C321" s="217">
        <v>0</v>
      </c>
      <c r="D321" s="217">
        <v>0</v>
      </c>
      <c r="E321" s="217">
        <v>0</v>
      </c>
      <c r="F321" s="217">
        <v>0</v>
      </c>
      <c r="G321" s="217">
        <v>0</v>
      </c>
      <c r="H321" s="217">
        <v>0</v>
      </c>
      <c r="I321" s="217">
        <v>0</v>
      </c>
      <c r="J321" s="217">
        <v>0</v>
      </c>
      <c r="K321" s="217">
        <v>0</v>
      </c>
      <c r="L321" s="252">
        <v>1.0752264418928744E-4</v>
      </c>
      <c r="M321" s="168">
        <f t="shared" si="136"/>
        <v>1.7152486323475729E-6</v>
      </c>
      <c r="N321" s="170">
        <f t="shared" si="137"/>
        <v>8.0816547276667043E-7</v>
      </c>
      <c r="O321" s="216">
        <v>0</v>
      </c>
      <c r="P321" s="217">
        <v>0</v>
      </c>
      <c r="Q321" s="217">
        <v>0</v>
      </c>
      <c r="R321" s="217">
        <v>0</v>
      </c>
      <c r="S321" s="217">
        <v>0</v>
      </c>
      <c r="T321" s="217">
        <v>0</v>
      </c>
      <c r="U321" s="217">
        <v>0</v>
      </c>
      <c r="V321" s="217">
        <v>0</v>
      </c>
      <c r="W321" s="217">
        <v>0</v>
      </c>
      <c r="X321" s="217">
        <v>0</v>
      </c>
      <c r="Y321" s="252">
        <v>1.5480835678303626E-4</v>
      </c>
      <c r="Z321" s="168">
        <f t="shared" si="138"/>
        <v>7.853588045724149E-6</v>
      </c>
      <c r="AA321" s="170">
        <f t="shared" si="139"/>
        <v>4.0063454464339612E-6</v>
      </c>
      <c r="AB321" s="795">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0.28216239554711786</v>
      </c>
      <c r="AC321" s="796">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0.3054964725589881</v>
      </c>
      <c r="AD321" s="1069">
        <f t="shared" si="149"/>
        <v>0.30131375473985933</v>
      </c>
      <c r="AE321" s="784">
        <f t="shared" si="146"/>
        <v>1.7152486323475729E-6</v>
      </c>
      <c r="AF321" s="784">
        <f t="shared" si="147"/>
        <v>7.853588045724149E-6</v>
      </c>
      <c r="AG321" s="784">
        <f t="shared" si="148"/>
        <v>9.5688366780717217E-6</v>
      </c>
      <c r="AH321" s="1015">
        <f t="shared" si="144"/>
        <v>0.17925362194531924</v>
      </c>
      <c r="AI321" s="784">
        <f t="shared" si="145"/>
        <v>0.82074637805468076</v>
      </c>
    </row>
    <row r="322" spans="1:35" x14ac:dyDescent="0.2">
      <c r="A322" s="202">
        <v>2043</v>
      </c>
      <c r="B322" s="216">
        <v>0</v>
      </c>
      <c r="C322" s="217">
        <v>0</v>
      </c>
      <c r="D322" s="217">
        <v>0</v>
      </c>
      <c r="E322" s="217">
        <v>0</v>
      </c>
      <c r="F322" s="217">
        <v>0</v>
      </c>
      <c r="G322" s="217">
        <v>0</v>
      </c>
      <c r="H322" s="217">
        <v>0</v>
      </c>
      <c r="I322" s="217">
        <v>0</v>
      </c>
      <c r="J322" s="217">
        <v>2.6618908298487929E-4</v>
      </c>
      <c r="K322" s="217">
        <v>1.6344294899261257E-3</v>
      </c>
      <c r="L322" s="252">
        <v>1.7784072425513782E-2</v>
      </c>
      <c r="M322" s="168">
        <f t="shared" si="136"/>
        <v>2.9669522382375389E-4</v>
      </c>
      <c r="N322" s="170">
        <f t="shared" si="137"/>
        <v>1.4166072336391808E-4</v>
      </c>
      <c r="O322" s="216">
        <v>0</v>
      </c>
      <c r="P322" s="217">
        <v>0</v>
      </c>
      <c r="Q322" s="217">
        <v>0</v>
      </c>
      <c r="R322" s="217">
        <v>0</v>
      </c>
      <c r="S322" s="217">
        <v>0</v>
      </c>
      <c r="T322" s="217">
        <v>0</v>
      </c>
      <c r="U322" s="217">
        <v>0</v>
      </c>
      <c r="V322" s="217">
        <v>1.2894614353995863E-4</v>
      </c>
      <c r="W322" s="217">
        <v>1.1836005441604053E-3</v>
      </c>
      <c r="X322" s="217">
        <v>5.0849756003983702E-3</v>
      </c>
      <c r="Y322" s="252">
        <v>1.9111177347099328E-2</v>
      </c>
      <c r="Z322" s="168">
        <f t="shared" si="138"/>
        <v>1.1954496628482825E-3</v>
      </c>
      <c r="AA322" s="170">
        <f t="shared" si="139"/>
        <v>6.3566080634466153E-4</v>
      </c>
      <c r="AB322" s="795">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0.29924293362384274</v>
      </c>
      <c r="AC322" s="796">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0.33325689553340271</v>
      </c>
      <c r="AD322" s="1069">
        <f t="shared" si="149"/>
        <v>0.32649362466605586</v>
      </c>
      <c r="AE322" s="784">
        <f t="shared" si="146"/>
        <v>2.9669522382375389E-4</v>
      </c>
      <c r="AF322" s="784">
        <f t="shared" si="147"/>
        <v>1.1954496628482825E-3</v>
      </c>
      <c r="AG322" s="784">
        <f t="shared" si="148"/>
        <v>1.4921448866720363E-3</v>
      </c>
      <c r="AH322" s="1015">
        <f t="shared" si="144"/>
        <v>0.19883807964887365</v>
      </c>
      <c r="AI322" s="784">
        <f t="shared" si="145"/>
        <v>0.80116192035112643</v>
      </c>
    </row>
    <row r="323" spans="1:35" x14ac:dyDescent="0.2">
      <c r="A323" s="202">
        <v>2044</v>
      </c>
      <c r="B323" s="216">
        <v>0</v>
      </c>
      <c r="C323" s="217">
        <v>0</v>
      </c>
      <c r="D323" s="217">
        <v>0</v>
      </c>
      <c r="E323" s="217">
        <v>0</v>
      </c>
      <c r="F323" s="217">
        <v>0</v>
      </c>
      <c r="G323" s="217">
        <v>2.1821188924232396E-4</v>
      </c>
      <c r="H323" s="217">
        <v>1.6293399688182433E-3</v>
      </c>
      <c r="I323" s="217">
        <v>8.849097687244234E-3</v>
      </c>
      <c r="J323" s="217">
        <v>2.2371590362321794E-2</v>
      </c>
      <c r="K323" s="217">
        <v>3.6414647249975667E-2</v>
      </c>
      <c r="L323" s="252">
        <v>7.9116079690248545E-2</v>
      </c>
      <c r="M323" s="168">
        <f t="shared" si="136"/>
        <v>2.1631899125077324E-3</v>
      </c>
      <c r="N323" s="170">
        <f t="shared" si="137"/>
        <v>1.2415301978962235E-3</v>
      </c>
      <c r="O323" s="216">
        <v>0</v>
      </c>
      <c r="P323" s="217">
        <v>0</v>
      </c>
      <c r="Q323" s="217">
        <v>0</v>
      </c>
      <c r="R323" s="217">
        <v>0</v>
      </c>
      <c r="S323" s="217">
        <v>8.6401493905322025E-5</v>
      </c>
      <c r="T323" s="217">
        <v>1.6183776329714258E-3</v>
      </c>
      <c r="U323" s="217">
        <v>5.8865808298714222E-3</v>
      </c>
      <c r="V323" s="217">
        <v>1.7545348004372189E-2</v>
      </c>
      <c r="W323" s="217">
        <v>3.2459169848058217E-2</v>
      </c>
      <c r="X323" s="217">
        <v>5.0082963184386604E-2</v>
      </c>
      <c r="Y323" s="252">
        <v>7.6810465045414084E-2</v>
      </c>
      <c r="Z323" s="168">
        <f t="shared" si="138"/>
        <v>9.9889694432609821E-3</v>
      </c>
      <c r="AA323" s="170">
        <f t="shared" si="139"/>
        <v>6.5479702575098227E-3</v>
      </c>
      <c r="AB323" s="795">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0.37475905914931201</v>
      </c>
      <c r="AC323" s="796">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0.42803128707181198</v>
      </c>
      <c r="AD323" s="1069">
        <f t="shared" si="149"/>
        <v>0.41854836780742133</v>
      </c>
      <c r="AE323" s="784">
        <f t="shared" si="146"/>
        <v>2.1631899125077324E-3</v>
      </c>
      <c r="AF323" s="784">
        <f t="shared" si="147"/>
        <v>9.9889694432609821E-3</v>
      </c>
      <c r="AG323" s="784">
        <f t="shared" si="148"/>
        <v>1.2152159355768714E-2</v>
      </c>
      <c r="AH323" s="1015">
        <f t="shared" si="144"/>
        <v>0.17800868546715126</v>
      </c>
      <c r="AI323" s="784">
        <f t="shared" si="145"/>
        <v>0.82199131453284879</v>
      </c>
    </row>
    <row r="324" spans="1:35" ht="13.5" thickBot="1" x14ac:dyDescent="0.25">
      <c r="A324" s="200">
        <v>2045</v>
      </c>
      <c r="B324" s="218">
        <v>0</v>
      </c>
      <c r="C324" s="219">
        <v>0</v>
      </c>
      <c r="D324" s="219">
        <v>0</v>
      </c>
      <c r="E324" s="219">
        <v>4.9902371949262848E-4</v>
      </c>
      <c r="F324" s="219">
        <v>5.1497269745880763E-3</v>
      </c>
      <c r="G324" s="219">
        <v>1.7977602276501196E-2</v>
      </c>
      <c r="H324" s="219">
        <v>3.3320931563171494E-2</v>
      </c>
      <c r="I324" s="219">
        <v>5.5968327068492259E-2</v>
      </c>
      <c r="J324" s="219">
        <v>8.0199882571425754E-2</v>
      </c>
      <c r="K324" s="219">
        <v>9.5789588359519964E-2</v>
      </c>
      <c r="L324" s="253">
        <v>0.12879337888272879</v>
      </c>
      <c r="M324" s="182">
        <f t="shared" si="136"/>
        <v>8.6215175038428758E-3</v>
      </c>
      <c r="N324" s="184">
        <f t="shared" si="137"/>
        <v>6.3841134061196183E-3</v>
      </c>
      <c r="O324" s="218">
        <v>0</v>
      </c>
      <c r="P324" s="219">
        <v>0</v>
      </c>
      <c r="Q324" s="219">
        <v>0</v>
      </c>
      <c r="R324" s="219">
        <v>2.1736521938721513E-3</v>
      </c>
      <c r="S324" s="219">
        <v>1.4242221426528793E-2</v>
      </c>
      <c r="T324" s="219">
        <v>3.3079144259570377E-2</v>
      </c>
      <c r="U324" s="219">
        <v>5.060838069890404E-2</v>
      </c>
      <c r="V324" s="219">
        <v>7.3644818001625173E-2</v>
      </c>
      <c r="W324" s="219">
        <v>8.8672095127058537E-2</v>
      </c>
      <c r="X324" s="219">
        <v>0.10538368101789322</v>
      </c>
      <c r="Y324" s="253">
        <v>0.12764696627655628</v>
      </c>
      <c r="Z324" s="182">
        <f t="shared" si="138"/>
        <v>3.9145262958211892E-2</v>
      </c>
      <c r="AA324" s="184">
        <f t="shared" si="139"/>
        <v>3.1223805025663614E-2</v>
      </c>
      <c r="AB324" s="795">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0.49972678991258807</v>
      </c>
      <c r="AC324" s="796">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0.53823186940812484</v>
      </c>
      <c r="AD324" s="1069">
        <f t="shared" si="149"/>
        <v>0.53128201401392805</v>
      </c>
      <c r="AE324" s="784">
        <f t="shared" si="146"/>
        <v>8.6215175038428758E-3</v>
      </c>
      <c r="AF324" s="784">
        <f t="shared" si="147"/>
        <v>3.9145262958211892E-2</v>
      </c>
      <c r="AG324" s="784">
        <f t="shared" si="148"/>
        <v>4.7766780462054764E-2</v>
      </c>
      <c r="AH324" s="1015">
        <f t="shared" si="144"/>
        <v>0.18049191133347753</v>
      </c>
      <c r="AI324" s="784">
        <f t="shared" si="145"/>
        <v>0.81950808866652258</v>
      </c>
    </row>
    <row r="325" spans="1:35" x14ac:dyDescent="0.2">
      <c r="A325" s="201">
        <v>2046</v>
      </c>
      <c r="B325" s="214">
        <v>0</v>
      </c>
      <c r="C325" s="215">
        <v>0</v>
      </c>
      <c r="D325" s="215">
        <v>1.0839228346272396E-4</v>
      </c>
      <c r="E325" s="215">
        <v>1.0870635572746914E-2</v>
      </c>
      <c r="F325" s="215">
        <v>3.6206774947536123E-2</v>
      </c>
      <c r="G325" s="215">
        <v>5.9686467937776364E-2</v>
      </c>
      <c r="H325" s="215">
        <v>7.7250003695671879E-2</v>
      </c>
      <c r="I325" s="215">
        <v>0.10196771349670487</v>
      </c>
      <c r="J325" s="215">
        <v>0.12554879732018914</v>
      </c>
      <c r="K325" s="215">
        <v>0.1365821356612329</v>
      </c>
      <c r="L325" s="251">
        <v>0.15742686954094401</v>
      </c>
      <c r="M325" s="154">
        <f t="shared" si="136"/>
        <v>1.7126862862449247E-2</v>
      </c>
      <c r="N325" s="156">
        <f t="shared" si="137"/>
        <v>1.4119909171850874E-2</v>
      </c>
      <c r="O325" s="214">
        <v>0</v>
      </c>
      <c r="P325" s="215">
        <v>0</v>
      </c>
      <c r="Q325" s="215">
        <v>1.2671123482864621E-3</v>
      </c>
      <c r="R325" s="215">
        <v>2.1974295487766821E-2</v>
      </c>
      <c r="S325" s="215">
        <v>5.0897451272670015E-2</v>
      </c>
      <c r="T325" s="215">
        <v>7.739530648576326E-2</v>
      </c>
      <c r="U325" s="215">
        <v>9.0334909013465942E-2</v>
      </c>
      <c r="V325" s="215">
        <v>0.11874440649030939</v>
      </c>
      <c r="W325" s="215">
        <v>0.1298623451169601</v>
      </c>
      <c r="X325" s="215">
        <v>0.14725672141449808</v>
      </c>
      <c r="Y325" s="251">
        <v>0.15632703208794352</v>
      </c>
      <c r="Z325" s="154">
        <f t="shared" si="138"/>
        <v>6.8887900851310704E-2</v>
      </c>
      <c r="AA325" s="156">
        <f t="shared" si="139"/>
        <v>5.8630376147965034E-2</v>
      </c>
      <c r="AB325" s="795">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0.56912791072717361</v>
      </c>
      <c r="AC325" s="796">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0.5874656612561191</v>
      </c>
      <c r="AD325" s="1069">
        <f t="shared" si="149"/>
        <v>0.58381433298461205</v>
      </c>
      <c r="AE325" s="784">
        <f t="shared" si="146"/>
        <v>1.7126862862449247E-2</v>
      </c>
      <c r="AF325" s="784">
        <f t="shared" si="147"/>
        <v>6.8887900851310704E-2</v>
      </c>
      <c r="AG325" s="784">
        <f t="shared" si="148"/>
        <v>8.6014763713759948E-2</v>
      </c>
      <c r="AH325" s="1015">
        <f t="shared" si="144"/>
        <v>0.19911538581265009</v>
      </c>
      <c r="AI325" s="784">
        <f t="shared" si="145"/>
        <v>0.80088461418734991</v>
      </c>
    </row>
    <row r="326" spans="1:35" x14ac:dyDescent="0.2">
      <c r="A326" s="202">
        <v>2047</v>
      </c>
      <c r="B326" s="216">
        <v>0</v>
      </c>
      <c r="C326" s="217">
        <v>0</v>
      </c>
      <c r="D326" s="217">
        <v>2.1066396122831478E-3</v>
      </c>
      <c r="E326" s="217">
        <v>3.4542870555873857E-2</v>
      </c>
      <c r="F326" s="217">
        <v>7.1463928124931575E-2</v>
      </c>
      <c r="G326" s="217">
        <v>9.4965363390693475E-2</v>
      </c>
      <c r="H326" s="217">
        <v>0.10885644040115593</v>
      </c>
      <c r="I326" s="217">
        <v>0.13485171521113384</v>
      </c>
      <c r="J326" s="217">
        <v>0.15274785807607424</v>
      </c>
      <c r="K326" s="217">
        <v>0.16317951735820019</v>
      </c>
      <c r="L326" s="252">
        <v>0.17754676508905376</v>
      </c>
      <c r="M326" s="168">
        <f t="shared" si="136"/>
        <v>2.4066255431751959E-2</v>
      </c>
      <c r="N326" s="170">
        <f t="shared" si="137"/>
        <v>2.0848713232416459E-2</v>
      </c>
      <c r="O326" s="216">
        <v>0</v>
      </c>
      <c r="P326" s="217">
        <v>0</v>
      </c>
      <c r="Q326" s="217">
        <v>8.6917243934173487E-3</v>
      </c>
      <c r="R326" s="217">
        <v>4.9084660093425658E-2</v>
      </c>
      <c r="S326" s="217">
        <v>8.5600883710684667E-2</v>
      </c>
      <c r="T326" s="217">
        <v>0.10325805956894084</v>
      </c>
      <c r="U326" s="217">
        <v>0.11657975561221072</v>
      </c>
      <c r="V326" s="217">
        <v>0.14603825320841751</v>
      </c>
      <c r="W326" s="217">
        <v>0.15682595668661969</v>
      </c>
      <c r="X326" s="217">
        <v>0.16815474078238271</v>
      </c>
      <c r="Y326" s="252">
        <v>0.17754676508905376</v>
      </c>
      <c r="Z326" s="168">
        <f t="shared" si="138"/>
        <v>8.9012671411608402E-2</v>
      </c>
      <c r="AA326" s="170">
        <f t="shared" si="139"/>
        <v>7.7893949674710028E-2</v>
      </c>
      <c r="AB326" s="795">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0.60620672052640256</v>
      </c>
      <c r="AC326" s="796">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0.61271320976882682</v>
      </c>
      <c r="AD326" s="1069">
        <f t="shared" si="149"/>
        <v>0.6113284527991304</v>
      </c>
      <c r="AE326" s="784">
        <f t="shared" si="146"/>
        <v>2.4066255431751959E-2</v>
      </c>
      <c r="AF326" s="784">
        <f t="shared" si="147"/>
        <v>8.9012671411608402E-2</v>
      </c>
      <c r="AG326" s="784">
        <f t="shared" si="148"/>
        <v>0.11307892684336036</v>
      </c>
      <c r="AH326" s="1015">
        <f t="shared" si="144"/>
        <v>0.2128270589717314</v>
      </c>
      <c r="AI326" s="784">
        <f t="shared" si="145"/>
        <v>0.78717294102826851</v>
      </c>
    </row>
    <row r="327" spans="1:35" x14ac:dyDescent="0.2">
      <c r="A327" s="202">
        <v>2048</v>
      </c>
      <c r="B327" s="216">
        <v>0</v>
      </c>
      <c r="C327" s="217">
        <v>0</v>
      </c>
      <c r="D327" s="217">
        <v>7.8481943719040416E-3</v>
      </c>
      <c r="E327" s="217">
        <v>5.8347814264393991E-2</v>
      </c>
      <c r="F327" s="217">
        <v>9.1483783174113542E-2</v>
      </c>
      <c r="G327" s="217">
        <v>0.10864725146699208</v>
      </c>
      <c r="H327" s="217">
        <v>0.12219457619473037</v>
      </c>
      <c r="I327" s="217">
        <v>0.15625497210116712</v>
      </c>
      <c r="J327" s="217">
        <v>0.1668503383176721</v>
      </c>
      <c r="K327" s="217">
        <v>0.17676757971930146</v>
      </c>
      <c r="L327" s="252">
        <v>0.19087760037619497</v>
      </c>
      <c r="M327" s="168">
        <f t="shared" si="136"/>
        <v>2.77968627653391E-2</v>
      </c>
      <c r="N327" s="170">
        <f t="shared" si="137"/>
        <v>2.4601451201217442E-2</v>
      </c>
      <c r="O327" s="216">
        <v>0</v>
      </c>
      <c r="P327" s="217">
        <v>0</v>
      </c>
      <c r="Q327" s="217">
        <v>2.0401849384878767E-2</v>
      </c>
      <c r="R327" s="217">
        <v>7.1700709655106581E-2</v>
      </c>
      <c r="S327" s="217">
        <v>0.10576827941982175</v>
      </c>
      <c r="T327" s="217">
        <v>0.11687943778417345</v>
      </c>
      <c r="U327" s="217">
        <v>0.13102776912683847</v>
      </c>
      <c r="V327" s="217">
        <v>0.16038179472287145</v>
      </c>
      <c r="W327" s="217">
        <v>0.17079813259113316</v>
      </c>
      <c r="X327" s="217">
        <v>0.18143401860363687</v>
      </c>
      <c r="Y327" s="252">
        <v>0.19011439855012727</v>
      </c>
      <c r="Z327" s="168">
        <f t="shared" si="138"/>
        <v>0.1004582419096595</v>
      </c>
      <c r="AA327" s="170">
        <f t="shared" si="139"/>
        <v>8.9129594695132569E-2</v>
      </c>
      <c r="AB327" s="795">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0.62398571620039944</v>
      </c>
      <c r="AC327" s="796">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0.6265788742121341</v>
      </c>
      <c r="AD327" s="1069">
        <f t="shared" si="149"/>
        <v>0.62601685636837123</v>
      </c>
      <c r="AE327" s="784">
        <f t="shared" si="146"/>
        <v>2.77968627653391E-2</v>
      </c>
      <c r="AF327" s="784">
        <f t="shared" si="147"/>
        <v>0.1004582419096595</v>
      </c>
      <c r="AG327" s="784">
        <f t="shared" si="148"/>
        <v>0.12825510467499859</v>
      </c>
      <c r="AH327" s="1015">
        <f t="shared" si="144"/>
        <v>0.2167310442401259</v>
      </c>
      <c r="AI327" s="784">
        <f t="shared" si="145"/>
        <v>0.78326895575987421</v>
      </c>
    </row>
    <row r="328" spans="1:35" x14ac:dyDescent="0.2">
      <c r="A328" s="202">
        <v>2049</v>
      </c>
      <c r="B328" s="216">
        <v>0</v>
      </c>
      <c r="C328" s="217">
        <v>0</v>
      </c>
      <c r="D328" s="217">
        <v>1.3000487344229372E-2</v>
      </c>
      <c r="E328" s="217">
        <v>7.1014490053678464E-2</v>
      </c>
      <c r="F328" s="217">
        <v>0.10019503630958239</v>
      </c>
      <c r="G328" s="217">
        <v>0.11831924477172946</v>
      </c>
      <c r="H328" s="217">
        <v>0.12502144977347873</v>
      </c>
      <c r="I328" s="217">
        <v>0.16259849129088072</v>
      </c>
      <c r="J328" s="217">
        <v>0.17311383695193922</v>
      </c>
      <c r="K328" s="217">
        <v>0.18385482772438266</v>
      </c>
      <c r="L328" s="252">
        <v>0.19663915657692649</v>
      </c>
      <c r="M328" s="168">
        <f t="shared" si="136"/>
        <v>2.9261758796048844E-2</v>
      </c>
      <c r="N328" s="170">
        <f t="shared" si="137"/>
        <v>2.6160389851023563E-2</v>
      </c>
      <c r="O328" s="216">
        <v>0</v>
      </c>
      <c r="P328" s="217">
        <v>0</v>
      </c>
      <c r="Q328" s="217">
        <v>3.0972613443335163E-2</v>
      </c>
      <c r="R328" s="217">
        <v>8.0286141772139108E-2</v>
      </c>
      <c r="S328" s="217">
        <v>0.11392613150292696</v>
      </c>
      <c r="T328" s="217">
        <v>0.12616429670724519</v>
      </c>
      <c r="U328" s="217">
        <v>0.13365220174876147</v>
      </c>
      <c r="V328" s="217">
        <v>0.16684362647168216</v>
      </c>
      <c r="W328" s="217">
        <v>0.17812522471043088</v>
      </c>
      <c r="X328" s="217">
        <v>0.18834777238537831</v>
      </c>
      <c r="Y328" s="252">
        <v>0.19663915657692649</v>
      </c>
      <c r="Z328" s="168">
        <f t="shared" si="138"/>
        <v>0.10529522433587675</v>
      </c>
      <c r="AA328" s="170">
        <f t="shared" si="139"/>
        <v>9.3958035999297682E-2</v>
      </c>
      <c r="AB328" s="795">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0.6333538901342225</v>
      </c>
      <c r="AC328" s="796">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0.63369924431244751</v>
      </c>
      <c r="AD328" s="1069">
        <f t="shared" si="149"/>
        <v>0.6336241410333221</v>
      </c>
      <c r="AE328" s="784">
        <f t="shared" si="146"/>
        <v>2.9261758796048844E-2</v>
      </c>
      <c r="AF328" s="784">
        <f t="shared" si="147"/>
        <v>0.10529522433587675</v>
      </c>
      <c r="AG328" s="784">
        <f t="shared" si="148"/>
        <v>0.1345569831319256</v>
      </c>
      <c r="AH328" s="1015">
        <f t="shared" si="144"/>
        <v>0.21746741131494696</v>
      </c>
      <c r="AI328" s="784">
        <f t="shared" si="145"/>
        <v>0.78253258868505304</v>
      </c>
    </row>
    <row r="329" spans="1:35" ht="13.5" thickBot="1" x14ac:dyDescent="0.25">
      <c r="A329" s="200">
        <v>2050</v>
      </c>
      <c r="B329" s="218">
        <v>0</v>
      </c>
      <c r="C329" s="219">
        <v>0</v>
      </c>
      <c r="D329" s="219">
        <v>2.4634165179663037E-2</v>
      </c>
      <c r="E329" s="219">
        <v>8.2754691227045402E-2</v>
      </c>
      <c r="F329" s="219">
        <v>0.11342082048999746</v>
      </c>
      <c r="G329" s="219">
        <v>0.12522257100233589</v>
      </c>
      <c r="H329" s="219">
        <v>0.14025384540682068</v>
      </c>
      <c r="I329" s="219">
        <v>0.17676290077001147</v>
      </c>
      <c r="J329" s="219">
        <v>0.18674384487695106</v>
      </c>
      <c r="K329" s="219">
        <v>0.19144335045578151</v>
      </c>
      <c r="L329" s="253">
        <v>0.20446250719593481</v>
      </c>
      <c r="M329" s="182">
        <f t="shared" si="136"/>
        <v>3.2141077702468497E-2</v>
      </c>
      <c r="N329" s="184">
        <f t="shared" si="137"/>
        <v>2.8994560720882582E-2</v>
      </c>
      <c r="O329" s="218">
        <v>0</v>
      </c>
      <c r="P329" s="219">
        <v>0</v>
      </c>
      <c r="Q329" s="219">
        <v>4.3168045625523094E-2</v>
      </c>
      <c r="R329" s="219">
        <v>9.97140118964671E-2</v>
      </c>
      <c r="S329" s="219">
        <v>0.1219444529615282</v>
      </c>
      <c r="T329" s="219">
        <v>0.13552019032235454</v>
      </c>
      <c r="U329" s="219">
        <v>0.14254844123905183</v>
      </c>
      <c r="V329" s="219">
        <v>0.18184631344863983</v>
      </c>
      <c r="W329" s="219">
        <v>0.19144335045578151</v>
      </c>
      <c r="X329" s="219">
        <v>0.19593487904694043</v>
      </c>
      <c r="Y329" s="253">
        <v>0.20446250719593481</v>
      </c>
      <c r="Z329" s="182">
        <f t="shared" si="138"/>
        <v>0.11312532837075097</v>
      </c>
      <c r="AA329" s="184">
        <f t="shared" si="139"/>
        <v>0.10158566423093504</v>
      </c>
      <c r="AB329" s="797">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0.64479729008092856</v>
      </c>
      <c r="AC329" s="798">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0.64361209445238721</v>
      </c>
      <c r="AD329" s="1070">
        <f t="shared" si="149"/>
        <v>0.64387432620864316</v>
      </c>
      <c r="AE329" s="784">
        <f t="shared" si="146"/>
        <v>3.2141077702468497E-2</v>
      </c>
      <c r="AF329" s="784">
        <f t="shared" si="147"/>
        <v>0.11312532837075097</v>
      </c>
      <c r="AG329" s="784">
        <f t="shared" si="148"/>
        <v>0.14526640607321947</v>
      </c>
      <c r="AH329" s="1015">
        <f t="shared" si="144"/>
        <v>0.22125609472480678</v>
      </c>
      <c r="AI329" s="784">
        <f t="shared" si="145"/>
        <v>0.7787439052751931</v>
      </c>
    </row>
    <row r="330" spans="1:35" x14ac:dyDescent="0.2">
      <c r="B330" s="99" t="str">
        <f>B$120</f>
        <v>Output generated: 11/04/2020 14:47</v>
      </c>
      <c r="U330" s="99" t="str">
        <f>U$120</f>
        <v>Output generated: 11/04/2020 14:47</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defaultColWidth="8.42578125" defaultRowHeight="12.75" x14ac:dyDescent="0.2"/>
  <cols>
    <col min="1" max="1" width="6" style="99" customWidth="1"/>
    <col min="2" max="2" width="10.28515625" style="99" customWidth="1"/>
    <col min="3" max="3" width="11.85546875" style="99" customWidth="1"/>
    <col min="4" max="4" width="12.5703125" style="99" customWidth="1"/>
    <col min="5" max="5" width="12.7109375" style="99" customWidth="1"/>
    <col min="6" max="6" width="12" style="99" customWidth="1"/>
    <col min="7" max="7" width="11.85546875" style="99" customWidth="1"/>
    <col min="8" max="8" width="10.85546875" style="99" bestFit="1" customWidth="1"/>
    <col min="9" max="9" width="8.42578125" style="99" customWidth="1"/>
    <col min="10" max="10" width="12.140625" style="99" customWidth="1"/>
    <col min="11" max="11" width="9.5703125" style="99" customWidth="1"/>
    <col min="12" max="12" width="10.85546875" style="99" bestFit="1" customWidth="1"/>
    <col min="13" max="13" width="9.85546875" style="99" customWidth="1"/>
    <col min="14" max="14" width="13" style="99" bestFit="1" customWidth="1"/>
    <col min="15" max="15" width="13.7109375" style="99" customWidth="1"/>
    <col min="16" max="16" width="12.5703125" style="99" customWidth="1"/>
    <col min="17" max="17" width="13.42578125" style="99" customWidth="1"/>
    <col min="18" max="18" width="11.5703125" style="99" customWidth="1"/>
    <col min="19" max="19" width="12.42578125" style="99" customWidth="1"/>
    <col min="20" max="22" width="8.42578125" style="99" customWidth="1"/>
    <col min="23" max="25" width="8.42578125" style="195" customWidth="1"/>
    <col min="26" max="28" width="8.42578125" style="99"/>
    <col min="29" max="29" width="10" style="99" customWidth="1"/>
    <col min="30" max="34" width="8.42578125" style="99"/>
    <col min="35" max="35" width="9.42578125" style="99" customWidth="1"/>
    <col min="36" max="42" width="8.42578125" style="99"/>
    <col min="43" max="43" width="9.5703125" style="99" bestFit="1" customWidth="1"/>
    <col min="44" max="44" width="7.42578125" style="99" bestFit="1" customWidth="1"/>
    <col min="45" max="47" width="8.42578125" style="99"/>
    <col min="48" max="48" width="9.5703125" style="99" bestFit="1" customWidth="1"/>
    <col min="49" max="52" width="8.42578125" style="99"/>
    <col min="53" max="53" width="9.5703125" style="99" bestFit="1" customWidth="1"/>
    <col min="54" max="58" width="8.42578125" style="99"/>
    <col min="59" max="59" width="9.5703125" style="99" bestFit="1" customWidth="1"/>
    <col min="60" max="16384" width="8.42578125" style="99"/>
  </cols>
  <sheetData>
    <row r="1" spans="2:60" ht="15.75" x14ac:dyDescent="0.25">
      <c r="B1" s="51" t="s">
        <v>243</v>
      </c>
      <c r="C1" s="104"/>
      <c r="D1" s="104"/>
      <c r="E1" s="104"/>
      <c r="F1" s="104"/>
      <c r="W1" s="99"/>
      <c r="X1" s="99"/>
      <c r="Y1" s="99"/>
    </row>
    <row r="2" spans="2:60" x14ac:dyDescent="0.2">
      <c r="Q2" s="107"/>
      <c r="W2" s="99"/>
      <c r="X2" s="99"/>
      <c r="Y2" s="99"/>
    </row>
    <row r="3" spans="2:60" x14ac:dyDescent="0.2">
      <c r="B3" s="1550" t="s">
        <v>53</v>
      </c>
      <c r="C3" s="1551"/>
      <c r="D3" s="108">
        <f>'Run Model'!C6</f>
        <v>7.4999999999999997E-2</v>
      </c>
      <c r="F3"/>
      <c r="G3"/>
      <c r="H3"/>
      <c r="J3" s="99" t="s">
        <v>127</v>
      </c>
      <c r="L3" s="1533" t="s">
        <v>448</v>
      </c>
      <c r="M3" s="1534"/>
      <c r="N3" s="1534"/>
      <c r="O3" s="1535"/>
      <c r="Q3" s="88"/>
      <c r="W3" s="99"/>
      <c r="X3" s="99"/>
      <c r="Y3" s="99"/>
    </row>
    <row r="4" spans="2:60" x14ac:dyDescent="0.2">
      <c r="B4" s="1550" t="s">
        <v>104</v>
      </c>
      <c r="C4" s="1551"/>
      <c r="D4" s="97" t="str">
        <f>'Run Model'!C7</f>
        <v>Moderate</v>
      </c>
      <c r="F4"/>
      <c r="G4"/>
      <c r="H4"/>
      <c r="J4" s="99" t="s">
        <v>126</v>
      </c>
      <c r="L4" s="1547">
        <v>44139.61645833333</v>
      </c>
      <c r="M4" s="1534"/>
      <c r="N4" s="1534"/>
      <c r="O4" s="1535"/>
      <c r="P4" s="99" t="s">
        <v>186</v>
      </c>
      <c r="W4" s="99"/>
      <c r="X4" s="99"/>
      <c r="Y4" s="99"/>
    </row>
    <row r="5" spans="2:60" x14ac:dyDescent="0.2">
      <c r="B5" s="1550" t="s">
        <v>118</v>
      </c>
      <c r="C5" s="1551"/>
      <c r="D5" s="97" t="s">
        <v>15</v>
      </c>
      <c r="F5"/>
      <c r="G5"/>
      <c r="H5"/>
      <c r="L5" s="1547">
        <v>44139.61645833333</v>
      </c>
      <c r="M5" s="1534"/>
      <c r="N5" s="1534"/>
      <c r="O5" s="1535"/>
      <c r="P5" s="99" t="s">
        <v>15</v>
      </c>
      <c r="W5" s="99"/>
      <c r="X5" s="99"/>
      <c r="Y5" s="99"/>
    </row>
    <row r="6" spans="2:60" x14ac:dyDescent="0.2">
      <c r="B6" s="1550" t="s">
        <v>68</v>
      </c>
      <c r="C6" s="1551"/>
      <c r="D6" s="110">
        <v>220702.9179341534</v>
      </c>
      <c r="F6"/>
      <c r="G6"/>
      <c r="H6"/>
      <c r="W6" s="99"/>
      <c r="X6" s="99"/>
      <c r="Y6" s="99"/>
    </row>
    <row r="7" spans="2:60" ht="6.75" customHeight="1" x14ac:dyDescent="0.2">
      <c r="Q7" s="111"/>
      <c r="W7" s="99"/>
      <c r="X7" s="99"/>
      <c r="Y7" s="99"/>
    </row>
    <row r="8" spans="2:60" s="112" customFormat="1" ht="15.75" thickBot="1" x14ac:dyDescent="0.3">
      <c r="B8" s="23" t="s">
        <v>74</v>
      </c>
      <c r="C8" s="99"/>
      <c r="D8" s="99"/>
      <c r="E8" s="99"/>
      <c r="F8" s="99"/>
      <c r="G8" s="99"/>
      <c r="H8" s="99"/>
      <c r="I8" s="99"/>
      <c r="J8" s="99"/>
      <c r="K8" s="99"/>
      <c r="L8" s="99"/>
      <c r="M8" s="99"/>
      <c r="N8" s="111"/>
      <c r="O8" s="111"/>
      <c r="P8" s="113"/>
      <c r="Q8" s="114"/>
      <c r="Z8" s="115"/>
      <c r="AA8" s="116"/>
      <c r="AO8" s="117"/>
      <c r="AP8" s="117"/>
      <c r="AQ8" s="117"/>
      <c r="AR8" s="117"/>
    </row>
    <row r="9" spans="2:60" s="875" customFormat="1" ht="28.5" customHeight="1" x14ac:dyDescent="0.2">
      <c r="B9" s="870"/>
      <c r="C9" s="871"/>
      <c r="D9" s="872"/>
      <c r="E9" s="872"/>
      <c r="F9" s="871"/>
      <c r="G9" s="872"/>
      <c r="H9" s="871"/>
      <c r="I9" s="872"/>
      <c r="J9" s="1521" t="s">
        <v>76</v>
      </c>
      <c r="K9" s="1522"/>
      <c r="L9" s="1561" t="s">
        <v>83</v>
      </c>
      <c r="M9" s="1561"/>
      <c r="N9" s="1562" t="s">
        <v>109</v>
      </c>
      <c r="O9" s="1561"/>
      <c r="P9" s="1561"/>
      <c r="Q9" s="1563"/>
      <c r="R9" s="873"/>
      <c r="S9" s="874"/>
      <c r="AB9" s="876"/>
      <c r="AC9" s="877"/>
      <c r="AQ9" s="117"/>
      <c r="AR9" s="117"/>
      <c r="AS9" s="117"/>
      <c r="AT9" s="117"/>
    </row>
    <row r="10" spans="2:60" s="112" customFormat="1" ht="26.25" thickBot="1" x14ac:dyDescent="0.25">
      <c r="B10" s="121"/>
      <c r="C10" s="569" t="s">
        <v>75</v>
      </c>
      <c r="D10" s="560"/>
      <c r="E10" s="561"/>
      <c r="F10" s="493" t="s">
        <v>211</v>
      </c>
      <c r="G10" s="494" t="s">
        <v>210</v>
      </c>
      <c r="H10" s="493" t="s">
        <v>264</v>
      </c>
      <c r="I10" s="494" t="s">
        <v>81</v>
      </c>
      <c r="J10" s="956" t="s">
        <v>280</v>
      </c>
      <c r="K10" s="957" t="s">
        <v>281</v>
      </c>
      <c r="L10" s="419" t="s">
        <v>113</v>
      </c>
      <c r="M10" s="122" t="s">
        <v>84</v>
      </c>
      <c r="N10" s="123" t="s">
        <v>95</v>
      </c>
      <c r="O10" s="122" t="s">
        <v>112</v>
      </c>
      <c r="P10" s="122" t="s">
        <v>120</v>
      </c>
      <c r="Q10" s="124" t="s">
        <v>108</v>
      </c>
      <c r="R10" s="113"/>
      <c r="S10" s="114"/>
      <c r="AB10" s="115"/>
      <c r="AC10" s="116"/>
      <c r="AI10" s="631"/>
      <c r="AJ10" s="633"/>
      <c r="AO10" s="633"/>
      <c r="AQ10" s="117"/>
      <c r="AR10" s="117"/>
      <c r="AS10" s="117"/>
      <c r="AT10" s="117"/>
    </row>
    <row r="11" spans="2:60" s="112" customFormat="1" ht="13.5" thickTop="1" x14ac:dyDescent="0.2">
      <c r="B11" s="125" t="s">
        <v>69</v>
      </c>
      <c r="C11" s="709" t="str">
        <f t="shared" ref="C11:C16" si="0">INDEX(TECH_OPT_PARAMS_Cls2,MATCH($B11,TECH_OPT_ROWS_Cls2,0),MATCH(C$10,TECH_OPT_COLS_Cls2,0))</f>
        <v>Conventional Diesel ICE</v>
      </c>
      <c r="D11" s="710"/>
      <c r="E11" s="711"/>
      <c r="F11" s="721" t="str">
        <f t="shared" ref="F11:O16" si="1">INDEX(TECH_OPT_PARAMS_Cls2,MATCH($B11,TECH_OPT_ROWS_Cls2,0),MATCH(F$10,TECH_OPT_COLS_Cls2,0))</f>
        <v>Diesel</v>
      </c>
      <c r="G11" s="721" t="str">
        <f t="shared" si="1"/>
        <v>N/A</v>
      </c>
      <c r="H11" s="744" t="b">
        <f t="shared" si="1"/>
        <v>0</v>
      </c>
      <c r="I11" s="568">
        <f t="shared" si="1"/>
        <v>0</v>
      </c>
      <c r="J11" s="568">
        <f t="shared" si="1"/>
        <v>0</v>
      </c>
      <c r="K11" s="878">
        <f t="shared" si="1"/>
        <v>0</v>
      </c>
      <c r="L11" s="879">
        <f t="shared" si="1"/>
        <v>0</v>
      </c>
      <c r="M11" s="568">
        <f t="shared" si="1"/>
        <v>0</v>
      </c>
      <c r="N11" s="567">
        <f t="shared" si="1"/>
        <v>0</v>
      </c>
      <c r="O11" s="221">
        <f t="shared" si="1"/>
        <v>350</v>
      </c>
      <c r="P11" s="126">
        <f>$D$6*('Inputs 7&amp;8 Day'!$N8/('Inputs 7&amp;8 Day'!$O8*1000))/12</f>
        <v>0</v>
      </c>
      <c r="Q11" s="127"/>
      <c r="R11" s="128"/>
      <c r="S11" s="114"/>
      <c r="T11" s="114"/>
      <c r="U11" s="114"/>
      <c r="V11" s="114"/>
      <c r="AD11"/>
      <c r="AE11"/>
      <c r="AF11"/>
      <c r="AG11"/>
      <c r="AH11"/>
      <c r="AI11"/>
      <c r="AJ11"/>
      <c r="AK11"/>
      <c r="AL11"/>
      <c r="AM11"/>
      <c r="AN11"/>
      <c r="AO11"/>
      <c r="AP11"/>
      <c r="AQ11"/>
      <c r="AR11"/>
      <c r="AS11"/>
      <c r="AT11"/>
      <c r="AU11"/>
      <c r="AV11"/>
      <c r="AW11"/>
      <c r="AX11"/>
      <c r="AY11"/>
      <c r="AZ11"/>
      <c r="BA11"/>
      <c r="BB11"/>
      <c r="BC11"/>
      <c r="BD11"/>
      <c r="BE11"/>
      <c r="BF11"/>
      <c r="BG11"/>
      <c r="BH11"/>
    </row>
    <row r="12" spans="2:60" s="112" customFormat="1" x14ac:dyDescent="0.2">
      <c r="B12" s="129" t="s">
        <v>65</v>
      </c>
      <c r="C12" s="712" t="str">
        <f t="shared" si="0"/>
        <v>Adv Conv</v>
      </c>
      <c r="D12" s="713"/>
      <c r="E12" s="714"/>
      <c r="F12" s="722" t="str">
        <f t="shared" si="1"/>
        <v>Diesel</v>
      </c>
      <c r="G12" s="723" t="str">
        <f t="shared" si="1"/>
        <v>N/A</v>
      </c>
      <c r="H12" s="745" t="b">
        <f t="shared" si="1"/>
        <v>0</v>
      </c>
      <c r="I12" s="109">
        <f t="shared" si="1"/>
        <v>2025</v>
      </c>
      <c r="J12" s="109">
        <f t="shared" si="1"/>
        <v>0</v>
      </c>
      <c r="K12" s="829">
        <f t="shared" si="1"/>
        <v>0.5</v>
      </c>
      <c r="L12" s="586">
        <f t="shared" si="1"/>
        <v>5</v>
      </c>
      <c r="M12" s="109">
        <f t="shared" si="1"/>
        <v>5</v>
      </c>
      <c r="N12" s="109">
        <f t="shared" si="1"/>
        <v>0</v>
      </c>
      <c r="O12" s="222">
        <f t="shared" si="1"/>
        <v>350</v>
      </c>
      <c r="P12" s="130">
        <f>$D$6*('Inputs 7&amp;8 Day'!$N9/('Inputs 7&amp;8 Day'!$O9*1000))/12</f>
        <v>0</v>
      </c>
      <c r="Q12" s="131">
        <f>P$11-P12</f>
        <v>0</v>
      </c>
      <c r="R12" s="128"/>
      <c r="S12" s="132"/>
      <c r="AD12"/>
      <c r="AE12"/>
      <c r="AF12"/>
      <c r="AG12"/>
      <c r="AH12"/>
      <c r="AI12"/>
      <c r="AJ12"/>
      <c r="AK12"/>
      <c r="AL12"/>
      <c r="AM12"/>
      <c r="AN12"/>
      <c r="AO12"/>
      <c r="AP12"/>
      <c r="AQ12"/>
      <c r="AR12"/>
      <c r="AS12"/>
      <c r="AT12"/>
      <c r="AU12"/>
      <c r="AV12"/>
      <c r="AW12"/>
      <c r="AX12"/>
      <c r="AY12"/>
      <c r="AZ12"/>
      <c r="BA12"/>
      <c r="BB12"/>
      <c r="BC12"/>
      <c r="BD12"/>
      <c r="BE12"/>
      <c r="BF12"/>
      <c r="BG12"/>
      <c r="BH12"/>
    </row>
    <row r="13" spans="2:60" s="112" customFormat="1" x14ac:dyDescent="0.2">
      <c r="B13" s="129" t="s">
        <v>66</v>
      </c>
      <c r="C13" s="712" t="str">
        <f t="shared" si="0"/>
        <v>HEV</v>
      </c>
      <c r="D13" s="713"/>
      <c r="E13" s="714"/>
      <c r="F13" s="722" t="str">
        <f t="shared" si="1"/>
        <v>Diesel</v>
      </c>
      <c r="G13" s="723" t="str">
        <f t="shared" si="1"/>
        <v>N/A</v>
      </c>
      <c r="H13" s="745" t="b">
        <f t="shared" si="1"/>
        <v>0</v>
      </c>
      <c r="I13" s="109">
        <f t="shared" si="1"/>
        <v>2025</v>
      </c>
      <c r="J13" s="109">
        <f t="shared" si="1"/>
        <v>0</v>
      </c>
      <c r="K13" s="829">
        <f t="shared" si="1"/>
        <v>0.5</v>
      </c>
      <c r="L13" s="586">
        <f t="shared" si="1"/>
        <v>5</v>
      </c>
      <c r="M13" s="109">
        <f t="shared" si="1"/>
        <v>5</v>
      </c>
      <c r="N13" s="109">
        <f t="shared" si="1"/>
        <v>0</v>
      </c>
      <c r="O13" s="222">
        <f t="shared" si="1"/>
        <v>350</v>
      </c>
      <c r="P13" s="130">
        <f>$D$6*('Inputs 7&amp;8 Day'!$N10/('Inputs 7&amp;8 Day'!$O10*1000))/12</f>
        <v>0</v>
      </c>
      <c r="Q13" s="131">
        <f>P$11-P13</f>
        <v>0</v>
      </c>
      <c r="R13" s="128"/>
      <c r="S13" s="132"/>
      <c r="AD13"/>
      <c r="AE13"/>
      <c r="AF13"/>
      <c r="AG13"/>
      <c r="AH13"/>
      <c r="AI13"/>
      <c r="AJ13"/>
      <c r="AK13"/>
      <c r="AL13"/>
      <c r="AM13"/>
      <c r="AN13"/>
      <c r="AO13"/>
      <c r="AP13"/>
      <c r="AQ13"/>
      <c r="AR13"/>
      <c r="AS13"/>
      <c r="AT13"/>
      <c r="AU13"/>
      <c r="AV13"/>
      <c r="AW13"/>
      <c r="AX13"/>
      <c r="AY13"/>
      <c r="AZ13"/>
      <c r="BA13"/>
      <c r="BB13"/>
      <c r="BC13"/>
      <c r="BD13"/>
      <c r="BE13"/>
      <c r="BF13"/>
      <c r="BG13"/>
      <c r="BH13"/>
    </row>
    <row r="14" spans="2:60" s="112" customFormat="1" x14ac:dyDescent="0.2">
      <c r="B14" s="129" t="s">
        <v>67</v>
      </c>
      <c r="C14" s="712" t="str">
        <f t="shared" si="0"/>
        <v>BEV</v>
      </c>
      <c r="D14" s="713"/>
      <c r="E14" s="714"/>
      <c r="F14" s="722" t="str">
        <f t="shared" si="1"/>
        <v>Electricity</v>
      </c>
      <c r="G14" s="723" t="str">
        <f t="shared" si="1"/>
        <v>N/A</v>
      </c>
      <c r="H14" s="745" t="b">
        <f t="shared" si="1"/>
        <v>1</v>
      </c>
      <c r="I14" s="109">
        <f t="shared" si="1"/>
        <v>2025</v>
      </c>
      <c r="J14" s="109">
        <f t="shared" si="1"/>
        <v>0</v>
      </c>
      <c r="K14" s="829">
        <f t="shared" si="1"/>
        <v>0.5</v>
      </c>
      <c r="L14" s="586">
        <f t="shared" si="1"/>
        <v>5</v>
      </c>
      <c r="M14" s="109">
        <f t="shared" si="1"/>
        <v>5</v>
      </c>
      <c r="N14" s="109">
        <f t="shared" si="1"/>
        <v>0</v>
      </c>
      <c r="O14" s="222">
        <f t="shared" si="1"/>
        <v>350</v>
      </c>
      <c r="P14" s="130">
        <f>$D$6*('Inputs 7&amp;8 Day'!$N11/('Inputs 7&amp;8 Day'!$O11*1000))/12</f>
        <v>0</v>
      </c>
      <c r="Q14" s="131">
        <f t="shared" ref="Q14:Q16" si="2">P$11-P14</f>
        <v>0</v>
      </c>
      <c r="R14" s="128"/>
      <c r="S14" s="132"/>
      <c r="AD14"/>
      <c r="AE14"/>
      <c r="AF14"/>
      <c r="AG14"/>
      <c r="AH14"/>
      <c r="AI14"/>
      <c r="AJ14"/>
      <c r="AK14"/>
      <c r="AL14"/>
      <c r="AM14"/>
      <c r="AN14"/>
      <c r="AO14"/>
      <c r="AP14"/>
      <c r="AQ14"/>
      <c r="AR14"/>
      <c r="AS14"/>
      <c r="AT14"/>
      <c r="AU14"/>
      <c r="AV14"/>
      <c r="AW14"/>
      <c r="AX14"/>
      <c r="AY14"/>
      <c r="AZ14"/>
      <c r="BA14"/>
      <c r="BB14"/>
      <c r="BC14"/>
      <c r="BD14"/>
      <c r="BE14"/>
      <c r="BF14"/>
      <c r="BG14"/>
      <c r="BH14"/>
    </row>
    <row r="15" spans="2:60" s="112" customFormat="1" x14ac:dyDescent="0.2">
      <c r="B15" s="129" t="s">
        <v>205</v>
      </c>
      <c r="C15" s="715" t="str">
        <f t="shared" si="0"/>
        <v>FCEV</v>
      </c>
      <c r="D15" s="716"/>
      <c r="E15" s="717"/>
      <c r="F15" s="724" t="str">
        <f t="shared" si="1"/>
        <v>Hydrogen</v>
      </c>
      <c r="G15" s="725" t="str">
        <f t="shared" si="1"/>
        <v>N/A</v>
      </c>
      <c r="H15" s="745" t="b">
        <f t="shared" si="1"/>
        <v>0</v>
      </c>
      <c r="I15" s="109">
        <f t="shared" si="1"/>
        <v>2025</v>
      </c>
      <c r="J15" s="109">
        <f t="shared" si="1"/>
        <v>0</v>
      </c>
      <c r="K15" s="829">
        <f t="shared" si="1"/>
        <v>0.5</v>
      </c>
      <c r="L15" s="586">
        <f t="shared" si="1"/>
        <v>5</v>
      </c>
      <c r="M15" s="109">
        <f t="shared" si="1"/>
        <v>5</v>
      </c>
      <c r="N15" s="109">
        <f t="shared" si="1"/>
        <v>0</v>
      </c>
      <c r="O15" s="222">
        <f t="shared" si="1"/>
        <v>350</v>
      </c>
      <c r="P15" s="130">
        <f>$D$6*('Inputs 7&amp;8 Day'!$N12/('Inputs 7&amp;8 Day'!$O12*1000))/12</f>
        <v>0</v>
      </c>
      <c r="Q15" s="131">
        <f t="shared" si="2"/>
        <v>0</v>
      </c>
      <c r="R15" s="128"/>
      <c r="S15" s="132"/>
      <c r="AD15"/>
      <c r="AE15"/>
      <c r="AF15"/>
      <c r="AG15"/>
      <c r="AH15"/>
      <c r="AI15"/>
      <c r="AJ15"/>
      <c r="AK15"/>
      <c r="AL15"/>
      <c r="AM15"/>
      <c r="AN15"/>
      <c r="AO15"/>
      <c r="AP15"/>
      <c r="AQ15"/>
      <c r="AR15"/>
      <c r="AS15"/>
      <c r="AT15"/>
      <c r="AU15"/>
      <c r="AV15"/>
      <c r="AW15"/>
      <c r="AX15"/>
      <c r="AY15"/>
      <c r="AZ15"/>
      <c r="BA15"/>
      <c r="BB15"/>
      <c r="BC15"/>
      <c r="BD15"/>
      <c r="BE15"/>
      <c r="BF15"/>
      <c r="BG15"/>
      <c r="BH15"/>
    </row>
    <row r="16" spans="2:60" s="112" customFormat="1" ht="13.5" thickBot="1" x14ac:dyDescent="0.25">
      <c r="B16" s="133" t="s">
        <v>206</v>
      </c>
      <c r="C16" s="718" t="str">
        <f t="shared" si="0"/>
        <v>PHEV</v>
      </c>
      <c r="D16" s="719"/>
      <c r="E16" s="720"/>
      <c r="F16" s="726" t="str">
        <f t="shared" si="1"/>
        <v>Diesel</v>
      </c>
      <c r="G16" s="727" t="str">
        <f t="shared" si="1"/>
        <v>Electricity</v>
      </c>
      <c r="H16" s="746" t="b">
        <f t="shared" si="1"/>
        <v>0</v>
      </c>
      <c r="I16" s="136">
        <f t="shared" si="1"/>
        <v>2025</v>
      </c>
      <c r="J16" s="136">
        <f t="shared" si="1"/>
        <v>0</v>
      </c>
      <c r="K16" s="830">
        <f t="shared" si="1"/>
        <v>0.5</v>
      </c>
      <c r="L16" s="587">
        <f t="shared" si="1"/>
        <v>5</v>
      </c>
      <c r="M16" s="136">
        <f t="shared" si="1"/>
        <v>5</v>
      </c>
      <c r="N16" s="136">
        <f t="shared" si="1"/>
        <v>0</v>
      </c>
      <c r="O16" s="223">
        <f t="shared" si="1"/>
        <v>350</v>
      </c>
      <c r="P16" s="137">
        <f>$D$6*('Inputs 7&amp;8 Day'!$N13/('Inputs 7&amp;8 Day'!$O13*1000))/12</f>
        <v>0</v>
      </c>
      <c r="Q16" s="138">
        <f t="shared" si="2"/>
        <v>0</v>
      </c>
      <c r="R16" s="128"/>
      <c r="S16" s="132"/>
      <c r="AD16"/>
      <c r="AE16"/>
      <c r="AF16"/>
      <c r="AG16"/>
      <c r="AH16"/>
      <c r="AI16"/>
      <c r="AJ16"/>
      <c r="AK16"/>
      <c r="AL16"/>
      <c r="AM16"/>
      <c r="AN16"/>
      <c r="AO16"/>
      <c r="AP16"/>
      <c r="AQ16"/>
      <c r="AR16"/>
      <c r="AS16"/>
      <c r="AT16"/>
      <c r="AU16"/>
      <c r="AV16"/>
      <c r="AW16"/>
      <c r="AX16"/>
      <c r="AY16"/>
      <c r="AZ16"/>
      <c r="BA16"/>
      <c r="BB16"/>
      <c r="BC16"/>
      <c r="BD16"/>
      <c r="BE16"/>
      <c r="BF16"/>
      <c r="BG16"/>
      <c r="BH16"/>
    </row>
    <row r="17" spans="1:60" s="112" customFormat="1" x14ac:dyDescent="0.2">
      <c r="B17" s="139"/>
      <c r="C17" s="139"/>
      <c r="D17" s="139"/>
      <c r="E17" s="116"/>
      <c r="F17" s="116"/>
      <c r="G17" s="116"/>
      <c r="H17" s="116"/>
      <c r="I17" s="111"/>
      <c r="J17" s="111"/>
      <c r="K17" s="140"/>
      <c r="L17" s="113"/>
      <c r="M17" s="111"/>
      <c r="N17" s="111"/>
      <c r="O17" s="140"/>
      <c r="P17" s="113"/>
      <c r="Q17" s="114"/>
      <c r="R17" s="112">
        <f>VLOOKUP($A38,IF($D$5="Central",FuelPriceCent,FuelPriceNCent),MATCH(Q$21,FuelPriceCols,0),0)*(K38*$D$6)/(12*INDEX(FUEL1MPG_Cls2,$A38-($A$24-1),MATCH(Q$20,TECHOPTS_Cls2,0)))</f>
        <v>11569.34673979609</v>
      </c>
      <c r="AD17"/>
      <c r="AE17"/>
      <c r="AF17"/>
      <c r="AG17"/>
      <c r="AH17"/>
      <c r="AI17"/>
      <c r="AJ17"/>
      <c r="AK17"/>
      <c r="AL17"/>
      <c r="AM17"/>
      <c r="AN17" s="640" t="s">
        <v>78</v>
      </c>
      <c r="AO17" s="644">
        <f>'S-curves'!Z4</f>
        <v>2</v>
      </c>
      <c r="AP17" s="641" t="s">
        <v>101</v>
      </c>
      <c r="AQ17" s="644">
        <f>'S-curves'!Z6</f>
        <v>1</v>
      </c>
      <c r="AR17" s="636"/>
      <c r="AS17" s="634" t="s">
        <v>233</v>
      </c>
      <c r="AT17" s="647"/>
      <c r="AU17" s="647"/>
      <c r="AV17" s="646"/>
      <c r="AW17" s="636"/>
      <c r="AX17" s="634"/>
      <c r="AY17" s="635"/>
      <c r="AZ17" s="635"/>
      <c r="BA17" s="635"/>
      <c r="BB17"/>
      <c r="BC17"/>
      <c r="BD17"/>
      <c r="BE17"/>
      <c r="BF17"/>
      <c r="BG17"/>
      <c r="BH17"/>
    </row>
    <row r="18" spans="1:60" ht="13.5" thickBot="1" x14ac:dyDescent="0.25">
      <c r="B18" s="101"/>
      <c r="D18" s="141"/>
      <c r="N18" s="142"/>
      <c r="Q18" s="142"/>
      <c r="W18" s="99"/>
      <c r="X18" s="99"/>
      <c r="Y18" s="99"/>
      <c r="AC18" s="142"/>
      <c r="AD18"/>
      <c r="AE18"/>
      <c r="AF18"/>
      <c r="AG18"/>
      <c r="AH18"/>
      <c r="AI18"/>
      <c r="AJ18"/>
      <c r="AK18"/>
      <c r="AL18"/>
      <c r="AM18"/>
      <c r="AN18" s="642" t="s">
        <v>79</v>
      </c>
      <c r="AO18" s="645">
        <f>'S-curves'!Z5</f>
        <v>0.6</v>
      </c>
      <c r="AP18" s="643"/>
      <c r="AQ18" s="643"/>
      <c r="AR18" s="639"/>
      <c r="AS18" s="649" t="s">
        <v>105</v>
      </c>
      <c r="AT18" s="650"/>
      <c r="AU18" s="651">
        <f>MATCH('Run Model'!C7,AdoptCols,0)</f>
        <v>4</v>
      </c>
      <c r="AV18" s="650" t="str">
        <f>INDEX(AdoptCols,AU18)</f>
        <v>Moderate</v>
      </c>
      <c r="AW18" s="639"/>
      <c r="AX18" s="637"/>
      <c r="AY18" s="648"/>
      <c r="AZ18" s="638"/>
      <c r="BA18" s="638"/>
      <c r="BB18"/>
      <c r="BC18"/>
      <c r="BD18"/>
      <c r="BE18"/>
      <c r="BF18"/>
      <c r="BG18"/>
      <c r="BH18"/>
    </row>
    <row r="19" spans="1:60" s="29" customFormat="1" ht="15.75" thickBot="1" x14ac:dyDescent="0.3">
      <c r="A19" s="652"/>
      <c r="B19" s="1544" t="s">
        <v>234</v>
      </c>
      <c r="C19" s="1545"/>
      <c r="D19" s="1545"/>
      <c r="E19" s="1545"/>
      <c r="F19" s="1545"/>
      <c r="G19" s="1546"/>
      <c r="H19" s="1564" t="s">
        <v>220</v>
      </c>
      <c r="I19" s="1565"/>
      <c r="J19" s="1565"/>
      <c r="K19" s="1565"/>
      <c r="L19" s="1565"/>
      <c r="M19" s="1566"/>
      <c r="N19" s="1545" t="s">
        <v>71</v>
      </c>
      <c r="O19" s="1545"/>
      <c r="P19" s="1545"/>
      <c r="Q19" s="1545"/>
      <c r="R19" s="1545"/>
      <c r="S19" s="1546"/>
      <c r="T19" s="1544" t="s">
        <v>107</v>
      </c>
      <c r="U19" s="1545"/>
      <c r="V19" s="1545"/>
      <c r="W19" s="1545"/>
      <c r="X19" s="1546"/>
      <c r="Y19" s="1544" t="s">
        <v>72</v>
      </c>
      <c r="Z19" s="1545"/>
      <c r="AA19" s="1545"/>
      <c r="AB19" s="1545"/>
      <c r="AC19" s="1546"/>
      <c r="AD19" s="1544" t="s">
        <v>92</v>
      </c>
      <c r="AE19" s="1545"/>
      <c r="AF19" s="1545"/>
      <c r="AG19" s="1545"/>
      <c r="AH19" s="1546"/>
      <c r="AI19" s="1544" t="s">
        <v>76</v>
      </c>
      <c r="AJ19" s="1545"/>
      <c r="AK19" s="1545"/>
      <c r="AL19" s="1545"/>
      <c r="AM19" s="1545"/>
      <c r="AN19" s="1544" t="s">
        <v>100</v>
      </c>
      <c r="AO19" s="1545"/>
      <c r="AP19" s="1545"/>
      <c r="AQ19" s="1545"/>
      <c r="AR19" s="1546"/>
      <c r="AS19" s="1544" t="s">
        <v>73</v>
      </c>
      <c r="AT19" s="1545"/>
      <c r="AU19" s="1545"/>
      <c r="AV19" s="1545"/>
      <c r="AW19" s="1546"/>
      <c r="AX19" s="1545" t="s">
        <v>102</v>
      </c>
      <c r="AY19" s="1545"/>
      <c r="AZ19" s="1545"/>
      <c r="BA19" s="1545"/>
      <c r="BB19" s="1546"/>
      <c r="BC19" s="1544" t="s">
        <v>82</v>
      </c>
      <c r="BD19" s="1545"/>
      <c r="BE19" s="1545"/>
      <c r="BF19" s="1545"/>
      <c r="BG19" s="1545"/>
      <c r="BH19" s="1546"/>
    </row>
    <row r="20" spans="1:60" ht="15" customHeight="1" x14ac:dyDescent="0.2">
      <c r="A20" s="144"/>
      <c r="B20" s="880" t="s">
        <v>69</v>
      </c>
      <c r="C20" s="881" t="s">
        <v>65</v>
      </c>
      <c r="D20" s="881" t="s">
        <v>66</v>
      </c>
      <c r="E20" s="881" t="s">
        <v>67</v>
      </c>
      <c r="F20" s="881" t="s">
        <v>205</v>
      </c>
      <c r="G20" s="927" t="s">
        <v>206</v>
      </c>
      <c r="H20" s="940" t="s">
        <v>69</v>
      </c>
      <c r="I20" s="941" t="s">
        <v>65</v>
      </c>
      <c r="J20" s="941" t="s">
        <v>66</v>
      </c>
      <c r="K20" s="941" t="s">
        <v>67</v>
      </c>
      <c r="L20" s="941" t="s">
        <v>205</v>
      </c>
      <c r="M20" s="942" t="s">
        <v>206</v>
      </c>
      <c r="N20" s="880" t="s">
        <v>69</v>
      </c>
      <c r="O20" s="881" t="s">
        <v>65</v>
      </c>
      <c r="P20" s="881" t="s">
        <v>66</v>
      </c>
      <c r="Q20" s="881" t="s">
        <v>67</v>
      </c>
      <c r="R20" s="881" t="s">
        <v>205</v>
      </c>
      <c r="S20" s="927" t="s">
        <v>206</v>
      </c>
      <c r="T20" s="886" t="s">
        <v>65</v>
      </c>
      <c r="U20" s="887" t="s">
        <v>66</v>
      </c>
      <c r="V20" s="887" t="s">
        <v>67</v>
      </c>
      <c r="W20" s="881" t="s">
        <v>205</v>
      </c>
      <c r="X20" s="927" t="s">
        <v>206</v>
      </c>
      <c r="Y20" s="886" t="s">
        <v>65</v>
      </c>
      <c r="Z20" s="887" t="s">
        <v>66</v>
      </c>
      <c r="AA20" s="887" t="s">
        <v>67</v>
      </c>
      <c r="AB20" s="881" t="s">
        <v>205</v>
      </c>
      <c r="AC20" s="927" t="s">
        <v>206</v>
      </c>
      <c r="AD20" s="886" t="s">
        <v>65</v>
      </c>
      <c r="AE20" s="887" t="s">
        <v>66</v>
      </c>
      <c r="AF20" s="887" t="s">
        <v>67</v>
      </c>
      <c r="AG20" s="881" t="s">
        <v>205</v>
      </c>
      <c r="AH20" s="927" t="s">
        <v>206</v>
      </c>
      <c r="AI20" s="886" t="s">
        <v>65</v>
      </c>
      <c r="AJ20" s="887" t="s">
        <v>66</v>
      </c>
      <c r="AK20" s="887" t="s">
        <v>67</v>
      </c>
      <c r="AL20" s="881" t="s">
        <v>205</v>
      </c>
      <c r="AM20" s="927" t="s">
        <v>206</v>
      </c>
      <c r="AN20" s="886" t="s">
        <v>65</v>
      </c>
      <c r="AO20" s="887" t="s">
        <v>66</v>
      </c>
      <c r="AP20" s="887" t="s">
        <v>67</v>
      </c>
      <c r="AQ20" s="881" t="s">
        <v>205</v>
      </c>
      <c r="AR20" s="927" t="s">
        <v>206</v>
      </c>
      <c r="AS20" s="886" t="s">
        <v>65</v>
      </c>
      <c r="AT20" s="887" t="s">
        <v>66</v>
      </c>
      <c r="AU20" s="887" t="s">
        <v>67</v>
      </c>
      <c r="AV20" s="881" t="s">
        <v>205</v>
      </c>
      <c r="AW20" s="927" t="s">
        <v>206</v>
      </c>
      <c r="AX20" s="886" t="s">
        <v>65</v>
      </c>
      <c r="AY20" s="887" t="s">
        <v>66</v>
      </c>
      <c r="AZ20" s="887" t="s">
        <v>67</v>
      </c>
      <c r="BA20" s="881" t="s">
        <v>205</v>
      </c>
      <c r="BB20" s="927" t="s">
        <v>206</v>
      </c>
      <c r="BC20" s="886" t="s">
        <v>69</v>
      </c>
      <c r="BD20" s="887" t="s">
        <v>65</v>
      </c>
      <c r="BE20" s="887" t="s">
        <v>66</v>
      </c>
      <c r="BF20" s="887" t="s">
        <v>67</v>
      </c>
      <c r="BG20" s="881" t="s">
        <v>205</v>
      </c>
      <c r="BH20" s="927" t="s">
        <v>206</v>
      </c>
    </row>
    <row r="21" spans="1:60" s="146" customFormat="1" x14ac:dyDescent="0.2">
      <c r="A21" s="144"/>
      <c r="B21" s="934"/>
      <c r="C21" s="935"/>
      <c r="D21" s="935"/>
      <c r="E21" s="935"/>
      <c r="F21" s="935"/>
      <c r="G21" s="936"/>
      <c r="H21" s="928" t="str">
        <f>IF(INDEX($G$11:$G$16,MATCH(H20,$B$11:$B$16,0))="N/A","Single-fuel","Dual-Fuel")</f>
        <v>Single-fuel</v>
      </c>
      <c r="I21" s="929" t="str">
        <f t="shared" ref="I21:M21" si="3">IF(INDEX($G$11:$G$16,MATCH(I20,$B$11:$B$16,0))="N/A","Single-fuel","Dual-Fuel")</f>
        <v>Single-fuel</v>
      </c>
      <c r="J21" s="929" t="str">
        <f t="shared" si="3"/>
        <v>Single-fuel</v>
      </c>
      <c r="K21" s="929" t="str">
        <f t="shared" si="3"/>
        <v>Single-fuel</v>
      </c>
      <c r="L21" s="929" t="str">
        <f t="shared" si="3"/>
        <v>Single-fuel</v>
      </c>
      <c r="M21" s="930" t="str">
        <f t="shared" si="3"/>
        <v>Dual-Fuel</v>
      </c>
      <c r="N21" s="836" t="str">
        <f>INDEX($F$11:$F$16,MATCH(N20,$B$11:$B$16,0))</f>
        <v>Diesel</v>
      </c>
      <c r="O21" s="837" t="str">
        <f t="shared" ref="O21:S21" si="4">INDEX($F$11:$F$16,MATCH(RIGHT(O20),$B$11:$B$16,0))</f>
        <v>Diesel</v>
      </c>
      <c r="P21" s="837" t="str">
        <f t="shared" si="4"/>
        <v>Diesel</v>
      </c>
      <c r="Q21" s="837" t="str">
        <f t="shared" si="4"/>
        <v>Electricity</v>
      </c>
      <c r="R21" s="837" t="str">
        <f t="shared" si="4"/>
        <v>Hydrogen</v>
      </c>
      <c r="S21" s="838" t="str">
        <f t="shared" si="4"/>
        <v>Diesel</v>
      </c>
      <c r="T21" s="1558" t="s">
        <v>117</v>
      </c>
      <c r="U21" s="1559"/>
      <c r="V21" s="1559"/>
      <c r="W21" s="1559"/>
      <c r="X21" s="1560"/>
      <c r="Y21" s="890" t="str">
        <f>INDEX($F$11:$F$16,MATCH(Y20,$B$11:$B$16,0))</f>
        <v>Diesel</v>
      </c>
      <c r="Z21" s="891" t="str">
        <f t="shared" ref="Z21:AC21" si="5">INDEX($F$11:$F$16,MATCH(Z20,$B$11:$B$16,0))</f>
        <v>Diesel</v>
      </c>
      <c r="AA21" s="891" t="str">
        <f t="shared" si="5"/>
        <v>Electricity</v>
      </c>
      <c r="AB21" s="891" t="str">
        <f t="shared" si="5"/>
        <v>Hydrogen</v>
      </c>
      <c r="AC21" s="892" t="str">
        <f t="shared" si="5"/>
        <v>Diesel</v>
      </c>
      <c r="AD21" s="893">
        <f>INDEX($L$11:$L$16,MATCH(AD20,$B$11:$B$16,0))</f>
        <v>5</v>
      </c>
      <c r="AE21" s="862">
        <f>INDEX($L$11:$L$16,MATCH(AE20,$B$11:$B$16,0))</f>
        <v>5</v>
      </c>
      <c r="AF21" s="862">
        <f>INDEX($L$11:$L$16,MATCH(AF20,$B$11:$B$16,0))</f>
        <v>5</v>
      </c>
      <c r="AG21" s="862">
        <f>INDEX($L$11:$L$16,MATCH(AG20,$B$11:$B$16,0))</f>
        <v>5</v>
      </c>
      <c r="AH21" s="863">
        <f>INDEX($L$11:$L$16,MATCH(AH20,$B$11:$B$16,0))</f>
        <v>5</v>
      </c>
      <c r="AI21" s="895">
        <f>INDEX($J$11:$J$16,MATCH(AI20,$B$11:$B$16,0))</f>
        <v>0</v>
      </c>
      <c r="AJ21" s="896">
        <f t="shared" ref="AJ21:AM21" si="6">INDEX($J$11:$J$16,MATCH(AJ20,$B$11:$B$16,0))</f>
        <v>0</v>
      </c>
      <c r="AK21" s="896">
        <f t="shared" si="6"/>
        <v>0</v>
      </c>
      <c r="AL21" s="896">
        <f t="shared" si="6"/>
        <v>0</v>
      </c>
      <c r="AM21" s="897">
        <f t="shared" si="6"/>
        <v>0</v>
      </c>
      <c r="AN21" s="836" t="str">
        <f>INDEX($F$11:$F$16,MATCH(AN20,$B$11:$B$16,0))</f>
        <v>Diesel</v>
      </c>
      <c r="AO21" s="837" t="str">
        <f t="shared" ref="AO21" si="7">INDEX($F$11:$F$16,MATCH(AO20,$B$11:$B$16,0))</f>
        <v>Diesel</v>
      </c>
      <c r="AP21" s="837" t="str">
        <f t="shared" ref="AP21" si="8">INDEX($F$11:$F$16,MATCH(AP20,$B$11:$B$16,0))</f>
        <v>Electricity</v>
      </c>
      <c r="AQ21" s="837" t="str">
        <f t="shared" ref="AQ21" si="9">INDEX($F$11:$F$16,MATCH(AQ20,$B$11:$B$16,0))</f>
        <v>Hydrogen</v>
      </c>
      <c r="AR21" s="838" t="str">
        <f t="shared" ref="AR21" si="10">INDEX($F$11:$F$16,MATCH(AR20,$B$11:$B$16,0))</f>
        <v>Diesel</v>
      </c>
      <c r="AS21" s="890" t="str">
        <f>INDEX($F$11:$F$16,MATCH(AS20,$B$11:$B$16,0))</f>
        <v>Diesel</v>
      </c>
      <c r="AT21" s="891" t="str">
        <f t="shared" ref="AT21" si="11">INDEX($F$11:$F$16,MATCH(AT20,$B$11:$B$16,0))</f>
        <v>Diesel</v>
      </c>
      <c r="AU21" s="891" t="str">
        <f t="shared" ref="AU21" si="12">INDEX($F$11:$F$16,MATCH(AU20,$B$11:$B$16,0))</f>
        <v>Electricity</v>
      </c>
      <c r="AV21" s="891" t="str">
        <f t="shared" ref="AV21" si="13">INDEX($F$11:$F$16,MATCH(AV20,$B$11:$B$16,0))</f>
        <v>Hydrogen</v>
      </c>
      <c r="AW21" s="892" t="str">
        <f t="shared" ref="AW21" si="14">INDEX($F$11:$F$16,MATCH(AW20,$B$11:$B$16,0))</f>
        <v>Diesel</v>
      </c>
      <c r="AX21" s="890" t="str">
        <f>INDEX($F$11:$F$16,MATCH(AX20,$B$11:$B$16,0))</f>
        <v>Diesel</v>
      </c>
      <c r="AY21" s="891" t="str">
        <f t="shared" ref="AY21" si="15">INDEX($F$11:$F$16,MATCH(AY20,$B$11:$B$16,0))</f>
        <v>Diesel</v>
      </c>
      <c r="AZ21" s="891" t="str">
        <f t="shared" ref="AZ21" si="16">INDEX($F$11:$F$16,MATCH(AZ20,$B$11:$B$16,0))</f>
        <v>Electricity</v>
      </c>
      <c r="BA21" s="891" t="str">
        <f t="shared" ref="BA21" si="17">INDEX($F$11:$F$16,MATCH(BA20,$B$11:$B$16,0))</f>
        <v>Hydrogen</v>
      </c>
      <c r="BB21" s="892" t="str">
        <f t="shared" ref="BB21" si="18">INDEX($F$11:$F$16,MATCH(BB20,$B$11:$B$16,0))</f>
        <v>Diesel</v>
      </c>
      <c r="BC21" s="901" t="str">
        <f>INDEX($F$11:$F$16,MATCH(BC20,$B$11:$B$16,0))</f>
        <v>Diesel</v>
      </c>
      <c r="BD21" s="891" t="str">
        <f t="shared" ref="BD21" si="19">INDEX($F$11:$F$16,MATCH(BD20,$B$11:$B$16,0))</f>
        <v>Diesel</v>
      </c>
      <c r="BE21" s="891" t="str">
        <f t="shared" ref="BE21" si="20">INDEX($F$11:$F$16,MATCH(BE20,$B$11:$B$16,0))</f>
        <v>Diesel</v>
      </c>
      <c r="BF21" s="891" t="str">
        <f t="shared" ref="BF21" si="21">INDEX($F$11:$F$16,MATCH(BF20,$B$11:$B$16,0))</f>
        <v>Electricity</v>
      </c>
      <c r="BG21" s="891" t="str">
        <f t="shared" ref="BG21:BH21" si="22">INDEX($F$11:$F$16,MATCH(BG20,$B$11:$B$16,0))</f>
        <v>Hydrogen</v>
      </c>
      <c r="BH21" s="892" t="str">
        <f t="shared" si="22"/>
        <v>Diesel</v>
      </c>
    </row>
    <row r="22" spans="1:60" x14ac:dyDescent="0.2">
      <c r="A22" s="144"/>
      <c r="B22" s="934"/>
      <c r="C22" s="935"/>
      <c r="D22" s="935"/>
      <c r="E22" s="935"/>
      <c r="F22" s="935"/>
      <c r="G22" s="936"/>
      <c r="H22" s="928"/>
      <c r="I22" s="929"/>
      <c r="J22" s="929"/>
      <c r="K22" s="929"/>
      <c r="L22" s="929"/>
      <c r="M22" s="930"/>
      <c r="N22" s="882"/>
      <c r="O22" s="851"/>
      <c r="P22" s="851"/>
      <c r="Q22" s="851"/>
      <c r="R22" s="851"/>
      <c r="S22" s="852"/>
      <c r="T22" s="845">
        <f>Q12</f>
        <v>0</v>
      </c>
      <c r="U22" s="846">
        <f>Q13</f>
        <v>0</v>
      </c>
      <c r="V22" s="888">
        <f>INDEX($Q$11:$Q$16,MATCH(V20,$B$11:$B$16,0))</f>
        <v>0</v>
      </c>
      <c r="W22" s="846">
        <f>INDEX($Q$11:$Q$16,MATCH(W20,$B$11:$B$16,0))</f>
        <v>0</v>
      </c>
      <c r="X22" s="847">
        <f>INDEX($Q$11:$Q$16,MATCH(X20,$B$11:$B$16,0))</f>
        <v>0</v>
      </c>
      <c r="Y22" s="853" t="b">
        <f>INDEX($H$11:$H$16,MATCH(Y20,$B$11:$B$16,0))</f>
        <v>0</v>
      </c>
      <c r="Z22" s="854" t="b">
        <f t="shared" ref="Z22:AC22" si="23">INDEX($H$11:$H$16,MATCH(Z20,$B$11:$B$16,0))</f>
        <v>0</v>
      </c>
      <c r="AA22" s="854" t="b">
        <f t="shared" si="23"/>
        <v>1</v>
      </c>
      <c r="AB22" s="854" t="b">
        <f t="shared" si="23"/>
        <v>0</v>
      </c>
      <c r="AC22" s="855" t="b">
        <f t="shared" si="23"/>
        <v>0</v>
      </c>
      <c r="AD22" s="893">
        <f>INDEX($M$11:$M$16,MATCH(AD20,$B$11:$B$16,0))</f>
        <v>5</v>
      </c>
      <c r="AE22" s="862">
        <f>INDEX($M$11:$M$16,MATCH(AE20,$B$11:$B$16,0))</f>
        <v>5</v>
      </c>
      <c r="AF22" s="862">
        <f>INDEX($M$11:$M$16,MATCH(AF20,$B$11:$B$16,0))</f>
        <v>5</v>
      </c>
      <c r="AG22" s="862">
        <f>INDEX($M$11:$M$16,MATCH(AG20,$B$11:$B$16,0))</f>
        <v>5</v>
      </c>
      <c r="AH22" s="863">
        <f>INDEX($M$11:$M$16,MATCH(AH20,$B$11:$B$16,0))</f>
        <v>5</v>
      </c>
      <c r="AI22" s="895">
        <f>INDEX($K$11:$K$16,MATCH(AI20,$B$11:$B$16,0))</f>
        <v>0.5</v>
      </c>
      <c r="AJ22" s="896">
        <f t="shared" ref="AJ22:AM22" si="24">INDEX($K$11:$K$16,MATCH(AJ20,$B$11:$B$16,0))</f>
        <v>0.5</v>
      </c>
      <c r="AK22" s="896">
        <f t="shared" si="24"/>
        <v>0.5</v>
      </c>
      <c r="AL22" s="896">
        <f t="shared" si="24"/>
        <v>0.5</v>
      </c>
      <c r="AM22" s="897">
        <f t="shared" si="24"/>
        <v>0.5</v>
      </c>
      <c r="AN22" s="836"/>
      <c r="AO22" s="837"/>
      <c r="AP22" s="837"/>
      <c r="AQ22" s="837"/>
      <c r="AR22" s="838"/>
      <c r="AS22" s="853"/>
      <c r="AT22" s="854"/>
      <c r="AU22" s="854"/>
      <c r="AV22" s="854"/>
      <c r="AW22" s="855"/>
      <c r="AX22" s="853"/>
      <c r="AY22" s="854"/>
      <c r="AZ22" s="854"/>
      <c r="BA22" s="854"/>
      <c r="BB22" s="855"/>
      <c r="BC22" s="853"/>
      <c r="BD22" s="854"/>
      <c r="BE22" s="854"/>
      <c r="BF22" s="854"/>
      <c r="BG22" s="854"/>
      <c r="BH22" s="855"/>
    </row>
    <row r="23" spans="1:60" ht="13.5" thickBot="1" x14ac:dyDescent="0.25">
      <c r="A23" s="621"/>
      <c r="B23" s="937"/>
      <c r="C23" s="938"/>
      <c r="D23" s="938"/>
      <c r="E23" s="938"/>
      <c r="F23" s="938"/>
      <c r="G23" s="939"/>
      <c r="H23" s="931"/>
      <c r="I23" s="932"/>
      <c r="J23" s="932"/>
      <c r="K23" s="932"/>
      <c r="L23" s="932"/>
      <c r="M23" s="933"/>
      <c r="N23" s="883"/>
      <c r="O23" s="884"/>
      <c r="P23" s="884"/>
      <c r="Q23" s="884"/>
      <c r="R23" s="884"/>
      <c r="S23" s="885"/>
      <c r="T23" s="848"/>
      <c r="U23" s="849"/>
      <c r="V23" s="889"/>
      <c r="W23" s="849"/>
      <c r="X23" s="850"/>
      <c r="Y23" s="856"/>
      <c r="Z23" s="857"/>
      <c r="AA23" s="857"/>
      <c r="AB23" s="857"/>
      <c r="AC23" s="858"/>
      <c r="AD23" s="894"/>
      <c r="AE23" s="865"/>
      <c r="AF23" s="865"/>
      <c r="AG23" s="865"/>
      <c r="AH23" s="866"/>
      <c r="AI23" s="898">
        <f>INDEX($I$11:$I$16,MATCH(AI20,$B$11:$B$16,0))</f>
        <v>2025</v>
      </c>
      <c r="AJ23" s="899">
        <f t="shared" ref="AJ23:AM23" si="25">INDEX($I$11:$I$16,MATCH(AJ20,$B$11:$B$16,0))</f>
        <v>2025</v>
      </c>
      <c r="AK23" s="899">
        <f t="shared" si="25"/>
        <v>2025</v>
      </c>
      <c r="AL23" s="899">
        <f t="shared" si="25"/>
        <v>2025</v>
      </c>
      <c r="AM23" s="900">
        <f t="shared" si="25"/>
        <v>2025</v>
      </c>
      <c r="AN23" s="864"/>
      <c r="AO23" s="867"/>
      <c r="AP23" s="867"/>
      <c r="AQ23" s="867"/>
      <c r="AR23" s="868"/>
      <c r="AS23" s="856"/>
      <c r="AT23" s="857"/>
      <c r="AU23" s="857"/>
      <c r="AV23" s="857"/>
      <c r="AW23" s="858"/>
      <c r="AX23" s="856"/>
      <c r="AY23" s="857"/>
      <c r="AZ23" s="857"/>
      <c r="BA23" s="857"/>
      <c r="BB23" s="858"/>
      <c r="BC23" s="856"/>
      <c r="BD23" s="857"/>
      <c r="BE23" s="857"/>
      <c r="BF23" s="857"/>
      <c r="BG23" s="857"/>
      <c r="BH23" s="858"/>
    </row>
    <row r="24" spans="1:60" ht="13.5" thickTop="1" x14ac:dyDescent="0.2">
      <c r="A24" s="456">
        <v>2007</v>
      </c>
      <c r="B24" s="656">
        <f t="shared" ref="B24:G33" si="26">ROUND(INDEX(COST_Cls2,$A24-($A$24-1),MATCH(B$20,TECHOPTS_Cls2,0)),2)</f>
        <v>138005</v>
      </c>
      <c r="C24" s="656">
        <f t="shared" si="26"/>
        <v>1000000</v>
      </c>
      <c r="D24" s="656">
        <f t="shared" si="26"/>
        <v>1000000</v>
      </c>
      <c r="E24" s="656">
        <f t="shared" si="26"/>
        <v>1000000</v>
      </c>
      <c r="F24" s="656">
        <f t="shared" si="26"/>
        <v>1000000</v>
      </c>
      <c r="G24" s="657">
        <f t="shared" si="26"/>
        <v>1000000</v>
      </c>
      <c r="H24" s="814">
        <f t="shared" ref="H24:M33" si="27">IF(H$21="Single-fuel",1,1-MIN(INDEX(CDRANGE_CLS2,$A24-($A$24-1),MATCH(H$20,TECHOPTS_Cls2,0))*OPDAYS_Cls2/$D$6,1))</f>
        <v>1</v>
      </c>
      <c r="I24" s="815">
        <f t="shared" si="27"/>
        <v>1</v>
      </c>
      <c r="J24" s="815">
        <f t="shared" si="27"/>
        <v>1</v>
      </c>
      <c r="K24" s="815">
        <f t="shared" si="27"/>
        <v>1</v>
      </c>
      <c r="L24" s="815">
        <f t="shared" si="27"/>
        <v>1</v>
      </c>
      <c r="M24" s="816">
        <f t="shared" si="27"/>
        <v>1</v>
      </c>
      <c r="N24" s="147">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148">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148">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148">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148">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150">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147">
        <f t="shared" ref="T24:T67" si="34">$N24-O24+T$22</f>
        <v>-35775.047344817882</v>
      </c>
      <c r="U24" s="148">
        <f t="shared" ref="U24:U67" si="35">$N24-P24+U$22</f>
        <v>-35775.047344817882</v>
      </c>
      <c r="V24" s="148">
        <f t="shared" ref="V24:V67" si="36">$N24-Q24+V$22</f>
        <v>-156023.00042403184</v>
      </c>
      <c r="W24" s="148">
        <f t="shared" ref="W24:W67" si="37">$N24-R24+W$22</f>
        <v>-220843.80460588637</v>
      </c>
      <c r="X24" s="150">
        <f t="shared" ref="X24:X67" si="38">$N24-S24+X$22</f>
        <v>-35775.047344817882</v>
      </c>
      <c r="Y24" s="151">
        <f ca="1">IF(AND(Y$22=TRUE,INDEX(CDRANGE_CLS2,MATCH($A24,$A$24:$A$67,0),MATCH(Y$20,$B$20:$G$20,0))&lt;$D$6/OPDAYS_Cls2),86,payback(C24,T24,disc_rate/12,85))</f>
        <v>86</v>
      </c>
      <c r="Z24" s="152">
        <f ca="1">IF(AND(Z$22=TRUE,INDEX(CDRANGE_CLS2,MATCH($A24,$A$24:$A$67,0),MATCH(Z$20,$B$20:$G$20,0))&lt;$D$6/OPDAYS_Cls2),86,payback(D24,U24,disc_rate/12,85))</f>
        <v>86</v>
      </c>
      <c r="AA24" s="152">
        <f>IF(AND(AA$22=TRUE,INDEX(CDRANGE_CLS2,MATCH($A24,$A$24:$A$67,0),MATCH(AA$20,$B$20:$G$20,0))&lt;$D$6/OPDAYS_Cls2),86,payback(E24,V24,disc_rate/12,85))</f>
        <v>86</v>
      </c>
      <c r="AB24" s="152">
        <f ca="1">IF(AND(AB$22=TRUE,INDEX(CDRANGE_CLS2,MATCH($A24,$A$24:$A$67,0),MATCH(AB$20,$B$20:$G$20,0))&lt;$D$6/OPDAYS_Cls2),86,payback(F24,W24,disc_rate/12,85))</f>
        <v>86</v>
      </c>
      <c r="AC24" s="153">
        <f ca="1">IF(AND(AC$22=TRUE,INDEX(CDRANGE_CLS2,MATCH($A24,$A$24:$A$67,0),MATCH(AC$20,$B$20:$G$20,0))&lt;$D$6/OPDAYS_Cls2),86,payback(G24,X24,disc_rate/12,85))</f>
        <v>86</v>
      </c>
      <c r="AD24" s="154">
        <f t="shared" ref="AD24:AD67" si="39">IF(AND(C24&lt;=AD$21,$N24-O24&gt;=-AD$22),AI24*VLOOKUP(C24/AD$21,FirstCostInd,2,TRUE)*VLOOKUP(($N24-O24)/AD$22,FuelCostInd,2,1),0)</f>
        <v>0</v>
      </c>
      <c r="AE24" s="155">
        <f t="shared" ref="AE24:AE67" si="40">IF(AND(D24&lt;=AE$21,$N24-P24&gt;=-AE$22),AJ24*VLOOKUP(D24/AE$21,FirstCostInd,2,TRUE)*VLOOKUP(($N24-P24)/AE$22,FuelCostInd,2,1),0)</f>
        <v>0</v>
      </c>
      <c r="AF24" s="155">
        <f t="shared" ref="AF24:AF67" si="41">IF(AND(E24&lt;=AF$21,$N24-Q24&gt;=-AF$22),AK24*VLOOKUP(E24/AF$21,FirstCostInd,2,TRUE)*VLOOKUP(($N24-Q24)/AF$22,FuelCostInd,2,1),0)</f>
        <v>0</v>
      </c>
      <c r="AG24" s="155">
        <f t="shared" ref="AG24:AG67" si="42">IF(AND(F24&lt;=AG$21,$N24-R24&gt;=-AG$22),AL24*VLOOKUP(F24/AG$21,FirstCostInd,2,TRUE)*VLOOKUP(($N24-R24)/AG$22,FuelCostInd,2,1),0)</f>
        <v>0</v>
      </c>
      <c r="AH24" s="155">
        <f t="shared" ref="AH24:AH67" si="43">IF(AND(G24&lt;=AH$21,$N24-S24&gt;=-AH$22),AM24*VLOOKUP(G24/AH$21,FirstCostInd,2,TRUE)*VLOOKUP(($N24-S24)/AH$22,FuelCostInd,2,1),0)</f>
        <v>0</v>
      </c>
      <c r="AI24" s="157">
        <f t="shared" ref="AI24:AI67" si="44">IF($A24&lt;AI$23,0,AI$21+VLOOKUP($A24-AI$23,SCdata,2,1)*(AI$22-AI$21))*IF($D$5="Non-Central",INDEX(fuel_avail,$A24-$A$24+1,MATCH(O$21,Fuels,0)),1)</f>
        <v>0</v>
      </c>
      <c r="AJ24" s="158">
        <f t="shared" ref="AJ24:AJ67" si="45">IF($A24&lt;AJ$23,0,AJ$21+VLOOKUP($A24-AJ$23,SCdata,2,1)*(AJ$22-AJ$21))*IF($D$5="Non-Central",INDEX(fuel_avail,$A24-$A$24+1,MATCH(P$21,Fuels,0)),1)</f>
        <v>0</v>
      </c>
      <c r="AK24" s="158">
        <f t="shared" ref="AK24:AK67" si="46">IF($A24&lt;AK$23,0,AK$21+VLOOKUP($A24-AK$23,SCdata,2,1)*(AK$22-AK$21))*IF($D$5="Non-Central",INDEX(fuel_avail,$A24-$A$24+1,MATCH(Q$21,Fuels,0)),1)</f>
        <v>0</v>
      </c>
      <c r="AL24" s="158">
        <f t="shared" ref="AL24:AL67" si="47">IF($A24&lt;AL$23,0,AL$21+VLOOKUP($A24-AL$23,SCdata,2,1)*(AL$22-AL$21))*IF($D$5="Non-Central",INDEX(fuel_avail,$A24-$A$24+1,MATCH(R$21,Fuels,0)),1)</f>
        <v>0</v>
      </c>
      <c r="AM24" s="458">
        <f t="shared" ref="AM24:AM67" si="48">IF($A24&lt;AM$23,0,AM$21+VLOOKUP($A24-AM$23,SCdata,2,1)*(AM$22-AM$21))*IF($D$5="Non-Central",INDEX(fuel_avail,$A24-$A$24+1,MATCH(S$21,Fuels,0)),1)</f>
        <v>0</v>
      </c>
      <c r="AN24" s="157">
        <f>IF(C24&lt;0,1,$AQ$17*(1-WEIBULL(C24/$B24,$AO$17,$AO$18,1)))</f>
        <v>0</v>
      </c>
      <c r="AO24" s="158">
        <f t="shared" ref="AO24:AR39" si="49">IF(D24&lt;0,1,$AQ$17*(1-WEIBULL(D24/$B24,$AO$17,$AO$18,1)))</f>
        <v>0</v>
      </c>
      <c r="AP24" s="158">
        <f t="shared" si="49"/>
        <v>0</v>
      </c>
      <c r="AQ24" s="158">
        <f t="shared" si="49"/>
        <v>0</v>
      </c>
      <c r="AR24" s="159">
        <f t="shared" si="49"/>
        <v>0</v>
      </c>
      <c r="AS24" s="154">
        <f t="shared" ref="AS24:AS67" ca="1" si="50">MIN(1,MAX(AD24,IF(Y24&gt;85,0,(AI24/0.5)*VLOOKUP(Y24,AdoptDec,$AU$18,0))))</f>
        <v>0</v>
      </c>
      <c r="AT24" s="155">
        <f t="shared" ref="AT24:AT67" ca="1" si="51">MIN(1,MAX(AE24,IF(Z24&gt;85,0,(AJ24/0.5)*VLOOKUP(Z24,AdoptDec,$AU$18,0))))</f>
        <v>0</v>
      </c>
      <c r="AU24" s="155">
        <f t="shared" ref="AU24:AU67" si="52">MIN(1,MAX(AF24,IF(AA24&gt;85,0,(AK24/0.5)*VLOOKUP(AA24,AdoptDec,$AU$18,0))))</f>
        <v>0</v>
      </c>
      <c r="AV24" s="155">
        <f t="shared" ref="AV24:AV67" ca="1" si="53">MIN(1,MAX(AG24,IF(AB24&gt;85,0,(AL24/0.5)*VLOOKUP(AB24,AdoptDec,$AU$18,0))))</f>
        <v>0</v>
      </c>
      <c r="AW24" s="156">
        <f t="shared" ref="AW24:AW67" ca="1" si="54">MIN(1,MAX(AH24,IF(AC24&gt;85,0,(AM24/0.5)*VLOOKUP(AC24,AdoptDec,$AU$18,0))))</f>
        <v>0</v>
      </c>
      <c r="AX24" s="154">
        <f t="shared" ref="AX24:AX67" ca="1" si="55">MIN(AS24*AN24,1)</f>
        <v>0</v>
      </c>
      <c r="AY24" s="155">
        <f t="shared" ref="AY24:AY67" ca="1" si="56">MIN(AT24*AO24,1)</f>
        <v>0</v>
      </c>
      <c r="AZ24" s="155">
        <f t="shared" ref="AZ24:AZ67" si="57">MIN(AU24*AP24,1)</f>
        <v>0</v>
      </c>
      <c r="BA24" s="155">
        <f t="shared" ref="BA24:BB24" ca="1" si="58">MIN(AV24*AQ24,1)</f>
        <v>0</v>
      </c>
      <c r="BB24" s="156">
        <f t="shared" ca="1" si="58"/>
        <v>0</v>
      </c>
      <c r="BC24" s="154">
        <f ca="1">1-SUM(BD24:BH24)</f>
        <v>1</v>
      </c>
      <c r="BD24" s="155">
        <f ca="1">IF(SUM($AX24:$BB24)=0,0,MAX($AX24:$BB24)*(AI24*AX24/SUMPRODUCT($AI24:$AM24,$AX24:$BB24)))</f>
        <v>0</v>
      </c>
      <c r="BE24" s="155">
        <f t="shared" ref="BE24:BH24" ca="1" si="59">IF(SUM($AX24:$BB24)=0,0,MAX($AX24:$BB24)*(AJ24*AY24/SUMPRODUCT($AI24:$AM24,$AX24:$BB24)))</f>
        <v>0</v>
      </c>
      <c r="BF24" s="155">
        <f t="shared" ca="1" si="59"/>
        <v>0</v>
      </c>
      <c r="BG24" s="155">
        <f t="shared" ca="1" si="59"/>
        <v>0</v>
      </c>
      <c r="BH24" s="156">
        <f t="shared" ca="1" si="59"/>
        <v>0</v>
      </c>
    </row>
    <row r="25" spans="1:60" x14ac:dyDescent="0.2">
      <c r="A25" s="160">
        <v>2008</v>
      </c>
      <c r="B25" s="658">
        <f t="shared" si="26"/>
        <v>138005</v>
      </c>
      <c r="C25" s="659">
        <f t="shared" si="26"/>
        <v>1000000</v>
      </c>
      <c r="D25" s="659">
        <f t="shared" si="26"/>
        <v>1000000</v>
      </c>
      <c r="E25" s="659">
        <f t="shared" si="26"/>
        <v>1000000</v>
      </c>
      <c r="F25" s="659">
        <f t="shared" si="26"/>
        <v>1000000</v>
      </c>
      <c r="G25" s="660">
        <f t="shared" si="26"/>
        <v>1000000</v>
      </c>
      <c r="H25" s="817">
        <f t="shared" si="27"/>
        <v>1</v>
      </c>
      <c r="I25" s="818">
        <f t="shared" si="27"/>
        <v>1</v>
      </c>
      <c r="J25" s="818">
        <f t="shared" si="27"/>
        <v>1</v>
      </c>
      <c r="K25" s="818">
        <f t="shared" si="27"/>
        <v>1</v>
      </c>
      <c r="L25" s="818">
        <f t="shared" si="27"/>
        <v>1</v>
      </c>
      <c r="M25" s="819">
        <f t="shared" si="27"/>
        <v>1</v>
      </c>
      <c r="N25" s="161">
        <f t="shared" si="28"/>
        <v>9936.8656639125184</v>
      </c>
      <c r="O25" s="162">
        <f t="shared" si="29"/>
        <v>58904.486133682345</v>
      </c>
      <c r="P25" s="162">
        <f t="shared" si="30"/>
        <v>58904.486133682345</v>
      </c>
      <c r="Q25" s="162">
        <f t="shared" si="31"/>
        <v>212071.67021326753</v>
      </c>
      <c r="R25" s="162">
        <f t="shared" si="32"/>
        <v>228103.5373879812</v>
      </c>
      <c r="S25" s="164">
        <f t="shared" si="33"/>
        <v>58904.486133682345</v>
      </c>
      <c r="T25" s="161">
        <f t="shared" si="34"/>
        <v>-48967.620469769827</v>
      </c>
      <c r="U25" s="162">
        <f t="shared" si="35"/>
        <v>-48967.620469769827</v>
      </c>
      <c r="V25" s="162">
        <f t="shared" si="36"/>
        <v>-202134.804549355</v>
      </c>
      <c r="W25" s="162">
        <f t="shared" si="37"/>
        <v>-218166.67172406867</v>
      </c>
      <c r="X25" s="164">
        <f t="shared" si="38"/>
        <v>-48967.620469769827</v>
      </c>
      <c r="Y25" s="165">
        <f ca="1">IF(AND(Y$22=TRUE,INDEX(CDRANGE_CLS2,MATCH($A25,$A$24:$A$67,0),MATCH(Y$20,$B$20:$G$20,0))&lt;$D$6/OPDAYS_Cls2),86,payback(C25,T25,disc_rate/12,85))</f>
        <v>86</v>
      </c>
      <c r="Z25" s="166">
        <f ca="1">IF(AND(Z$22=TRUE,INDEX(CDRANGE_CLS2,MATCH($A25,$A$24:$A$67,0),MATCH(Z$20,$B$20:$G$20,0))&lt;$D$6/OPDAYS_Cls2),86,payback(D25,U25,disc_rate/12,85))</f>
        <v>86</v>
      </c>
      <c r="AA25" s="166">
        <f>IF(AND(AA$22=TRUE,INDEX(CDRANGE_CLS2,MATCH($A25,$A$24:$A$67,0),MATCH(AA$20,$B$20:$G$20,0))&lt;$D$6/OPDAYS_Cls2),86,payback(E25,V25,disc_rate/12,85))</f>
        <v>86</v>
      </c>
      <c r="AB25" s="166">
        <f ca="1">IF(AND(AB$22=TRUE,INDEX(CDRANGE_CLS2,MATCH($A25,$A$24:$A$67,0),MATCH(AB$20,$B$20:$G$20,0))&lt;$D$6/OPDAYS_Cls2),86,payback(F25,W25,disc_rate/12,85))</f>
        <v>86</v>
      </c>
      <c r="AC25" s="167">
        <f ca="1">IF(AND(AC$22=TRUE,INDEX(CDRANGE_CLS2,MATCH($A25,$A$24:$A$67,0),MATCH(AC$20,$B$20:$G$20,0))&lt;$D$6/OPDAYS_Cls2),86,payback(G25,X25,disc_rate/12,85))</f>
        <v>86</v>
      </c>
      <c r="AD25" s="168">
        <f t="shared" si="39"/>
        <v>0</v>
      </c>
      <c r="AE25" s="169">
        <f t="shared" si="40"/>
        <v>0</v>
      </c>
      <c r="AF25" s="169">
        <f t="shared" si="41"/>
        <v>0</v>
      </c>
      <c r="AG25" s="169">
        <f t="shared" si="42"/>
        <v>0</v>
      </c>
      <c r="AH25" s="170">
        <f t="shared" si="43"/>
        <v>0</v>
      </c>
      <c r="AI25" s="171">
        <f t="shared" si="44"/>
        <v>0</v>
      </c>
      <c r="AJ25" s="172">
        <f t="shared" si="45"/>
        <v>0</v>
      </c>
      <c r="AK25" s="172">
        <f t="shared" si="46"/>
        <v>0</v>
      </c>
      <c r="AL25" s="172">
        <f t="shared" si="47"/>
        <v>0</v>
      </c>
      <c r="AM25" s="445">
        <f t="shared" si="48"/>
        <v>0</v>
      </c>
      <c r="AN25" s="171">
        <f t="shared" ref="AN25:AR67" si="60">IF(C25&lt;0,1,$AQ$17*(1-WEIBULL(C25/$B25,$AO$17,$AO$18,1)))</f>
        <v>0</v>
      </c>
      <c r="AO25" s="172">
        <f t="shared" si="49"/>
        <v>0</v>
      </c>
      <c r="AP25" s="172">
        <f t="shared" si="49"/>
        <v>0</v>
      </c>
      <c r="AQ25" s="172">
        <f t="shared" si="49"/>
        <v>0</v>
      </c>
      <c r="AR25" s="173">
        <f t="shared" si="49"/>
        <v>0</v>
      </c>
      <c r="AS25" s="154">
        <f t="shared" ca="1" si="50"/>
        <v>0</v>
      </c>
      <c r="AT25" s="155">
        <f t="shared" ca="1" si="51"/>
        <v>0</v>
      </c>
      <c r="AU25" s="155">
        <f t="shared" si="52"/>
        <v>0</v>
      </c>
      <c r="AV25" s="155">
        <f t="shared" ca="1" si="53"/>
        <v>0</v>
      </c>
      <c r="AW25" s="156">
        <f t="shared" ca="1" si="54"/>
        <v>0</v>
      </c>
      <c r="AX25" s="168">
        <f t="shared" ca="1" si="55"/>
        <v>0</v>
      </c>
      <c r="AY25" s="169">
        <f t="shared" ca="1" si="56"/>
        <v>0</v>
      </c>
      <c r="AZ25" s="169">
        <f t="shared" si="57"/>
        <v>0</v>
      </c>
      <c r="BA25" s="155">
        <f t="shared" ref="BA25:BA67" ca="1" si="61">MIN(AV25*AQ25,1)</f>
        <v>0</v>
      </c>
      <c r="BB25" s="156">
        <f t="shared" ref="BB25:BB67" ca="1" si="62">MIN(AW25*AR25,1)</f>
        <v>0</v>
      </c>
      <c r="BC25" s="154">
        <f t="shared" ref="BC25:BC67" ca="1" si="63">1-SUM(BD25:BH25)</f>
        <v>1</v>
      </c>
      <c r="BD25" s="155">
        <f t="shared" ref="BD25:BD67" ca="1" si="64">IF(SUM($AX25:$BB25)=0,0,MAX($AX25:$BB25)*(AI25*AX25/SUMPRODUCT($AI25:$AM25,$AX25:$BB25)))</f>
        <v>0</v>
      </c>
      <c r="BE25" s="155">
        <f t="shared" ref="BE25:BE67" ca="1" si="65">IF(SUM($AX25:$BB25)=0,0,MAX($AX25:$BB25)*(AJ25*AY25/SUMPRODUCT($AI25:$AM25,$AX25:$BB25)))</f>
        <v>0</v>
      </c>
      <c r="BF25" s="155">
        <f t="shared" ref="BF25:BF67" ca="1" si="66">IF(SUM($AX25:$BB25)=0,0,MAX($AX25:$BB25)*(AK25*AZ25/SUMPRODUCT($AI25:$AM25,$AX25:$BB25)))</f>
        <v>0</v>
      </c>
      <c r="BG25" s="155">
        <f t="shared" ref="BG25:BG67" ca="1" si="67">IF(SUM($AX25:$BB25)=0,0,MAX($AX25:$BB25)*(AL25*BA25/SUMPRODUCT($AI25:$AM25,$AX25:$BB25)))</f>
        <v>0</v>
      </c>
      <c r="BH25" s="156">
        <f t="shared" ref="BH25:BH67" ca="1" si="68">IF(SUM($AX25:$BB25)=0,0,MAX($AX25:$BB25)*(AM25*BB25/SUMPRODUCT($AI25:$AM25,$AX25:$BB25)))</f>
        <v>0</v>
      </c>
    </row>
    <row r="26" spans="1:60" x14ac:dyDescent="0.2">
      <c r="A26" s="160">
        <v>2009</v>
      </c>
      <c r="B26" s="658">
        <f t="shared" si="26"/>
        <v>138005</v>
      </c>
      <c r="C26" s="659">
        <f t="shared" si="26"/>
        <v>1000000</v>
      </c>
      <c r="D26" s="659">
        <f t="shared" si="26"/>
        <v>1000000</v>
      </c>
      <c r="E26" s="659">
        <f t="shared" si="26"/>
        <v>1000000</v>
      </c>
      <c r="F26" s="659">
        <f t="shared" si="26"/>
        <v>1000000</v>
      </c>
      <c r="G26" s="660">
        <f t="shared" si="26"/>
        <v>1000000</v>
      </c>
      <c r="H26" s="817">
        <f t="shared" si="27"/>
        <v>1</v>
      </c>
      <c r="I26" s="818">
        <f t="shared" si="27"/>
        <v>1</v>
      </c>
      <c r="J26" s="818">
        <f t="shared" si="27"/>
        <v>1</v>
      </c>
      <c r="K26" s="818">
        <f t="shared" si="27"/>
        <v>1</v>
      </c>
      <c r="L26" s="818">
        <f t="shared" si="27"/>
        <v>1</v>
      </c>
      <c r="M26" s="819">
        <f t="shared" si="27"/>
        <v>1</v>
      </c>
      <c r="N26" s="161">
        <f t="shared" si="28"/>
        <v>6422.7956986557438</v>
      </c>
      <c r="O26" s="162">
        <f t="shared" si="29"/>
        <v>38073.522674752407</v>
      </c>
      <c r="P26" s="162">
        <f t="shared" si="30"/>
        <v>38073.522674752407</v>
      </c>
      <c r="Q26" s="162">
        <f t="shared" si="31"/>
        <v>317800.49753746408</v>
      </c>
      <c r="R26" s="162">
        <f t="shared" si="32"/>
        <v>228103.5373879812</v>
      </c>
      <c r="S26" s="164">
        <f t="shared" si="33"/>
        <v>38073.522674752407</v>
      </c>
      <c r="T26" s="161">
        <f t="shared" si="34"/>
        <v>-31650.726976096663</v>
      </c>
      <c r="U26" s="162">
        <f t="shared" si="35"/>
        <v>-31650.726976096663</v>
      </c>
      <c r="V26" s="162">
        <f t="shared" si="36"/>
        <v>-311377.70183880831</v>
      </c>
      <c r="W26" s="162">
        <f t="shared" si="37"/>
        <v>-221680.74168932546</v>
      </c>
      <c r="X26" s="164">
        <f t="shared" si="38"/>
        <v>-31650.726976096663</v>
      </c>
      <c r="Y26" s="165">
        <f ca="1">IF(AND(Y$22=TRUE,INDEX(CDRANGE_CLS2,MATCH($A26,$A$24:$A$67,0),MATCH(Y$20,$B$20:$G$20,0))&lt;$D$6/OPDAYS_Cls2),86,payback(C26,T26,disc_rate/12,85))</f>
        <v>86</v>
      </c>
      <c r="Z26" s="166">
        <f ca="1">IF(AND(Z$22=TRUE,INDEX(CDRANGE_CLS2,MATCH($A26,$A$24:$A$67,0),MATCH(Z$20,$B$20:$G$20,0))&lt;$D$6/OPDAYS_Cls2),86,payback(D26,U26,disc_rate/12,85))</f>
        <v>86</v>
      </c>
      <c r="AA26" s="166">
        <f>IF(AND(AA$22=TRUE,INDEX(CDRANGE_CLS2,MATCH($A26,$A$24:$A$67,0),MATCH(AA$20,$B$20:$G$20,0))&lt;$D$6/OPDAYS_Cls2),86,payback(E26,V26,disc_rate/12,85))</f>
        <v>86</v>
      </c>
      <c r="AB26" s="166">
        <f ca="1">IF(AND(AB$22=TRUE,INDEX(CDRANGE_CLS2,MATCH($A26,$A$24:$A$67,0),MATCH(AB$20,$B$20:$G$20,0))&lt;$D$6/OPDAYS_Cls2),86,payback(F26,W26,disc_rate/12,85))</f>
        <v>86</v>
      </c>
      <c r="AC26" s="167">
        <f ca="1">IF(AND(AC$22=TRUE,INDEX(CDRANGE_CLS2,MATCH($A26,$A$24:$A$67,0),MATCH(AC$20,$B$20:$G$20,0))&lt;$D$6/OPDAYS_Cls2),86,payback(G26,X26,disc_rate/12,85))</f>
        <v>86</v>
      </c>
      <c r="AD26" s="168">
        <f t="shared" si="39"/>
        <v>0</v>
      </c>
      <c r="AE26" s="169">
        <f t="shared" si="40"/>
        <v>0</v>
      </c>
      <c r="AF26" s="169">
        <f t="shared" si="41"/>
        <v>0</v>
      </c>
      <c r="AG26" s="169">
        <f t="shared" si="42"/>
        <v>0</v>
      </c>
      <c r="AH26" s="170">
        <f t="shared" si="43"/>
        <v>0</v>
      </c>
      <c r="AI26" s="171">
        <f t="shared" si="44"/>
        <v>0</v>
      </c>
      <c r="AJ26" s="172">
        <f t="shared" si="45"/>
        <v>0</v>
      </c>
      <c r="AK26" s="172">
        <f t="shared" si="46"/>
        <v>0</v>
      </c>
      <c r="AL26" s="172">
        <f t="shared" si="47"/>
        <v>0</v>
      </c>
      <c r="AM26" s="445">
        <f t="shared" si="48"/>
        <v>0</v>
      </c>
      <c r="AN26" s="171">
        <f t="shared" si="60"/>
        <v>0</v>
      </c>
      <c r="AO26" s="172">
        <f t="shared" si="49"/>
        <v>0</v>
      </c>
      <c r="AP26" s="172">
        <f t="shared" si="49"/>
        <v>0</v>
      </c>
      <c r="AQ26" s="172">
        <f t="shared" si="49"/>
        <v>0</v>
      </c>
      <c r="AR26" s="173">
        <f t="shared" si="49"/>
        <v>0</v>
      </c>
      <c r="AS26" s="154">
        <f t="shared" ca="1" si="50"/>
        <v>0</v>
      </c>
      <c r="AT26" s="155">
        <f t="shared" ca="1" si="51"/>
        <v>0</v>
      </c>
      <c r="AU26" s="155">
        <f t="shared" si="52"/>
        <v>0</v>
      </c>
      <c r="AV26" s="155">
        <f t="shared" ca="1" si="53"/>
        <v>0</v>
      </c>
      <c r="AW26" s="156">
        <f t="shared" ca="1" si="54"/>
        <v>0</v>
      </c>
      <c r="AX26" s="168">
        <f t="shared" ca="1" si="55"/>
        <v>0</v>
      </c>
      <c r="AY26" s="169">
        <f t="shared" ca="1" si="56"/>
        <v>0</v>
      </c>
      <c r="AZ26" s="169">
        <f t="shared" si="57"/>
        <v>0</v>
      </c>
      <c r="BA26" s="155">
        <f t="shared" ca="1" si="61"/>
        <v>0</v>
      </c>
      <c r="BB26" s="156">
        <f t="shared" ca="1" si="62"/>
        <v>0</v>
      </c>
      <c r="BC26" s="154">
        <f t="shared" ca="1" si="63"/>
        <v>1</v>
      </c>
      <c r="BD26" s="155">
        <f t="shared" ca="1" si="64"/>
        <v>0</v>
      </c>
      <c r="BE26" s="155">
        <f t="shared" ca="1" si="65"/>
        <v>0</v>
      </c>
      <c r="BF26" s="155">
        <f t="shared" ca="1" si="66"/>
        <v>0</v>
      </c>
      <c r="BG26" s="155">
        <f t="shared" ca="1" si="67"/>
        <v>0</v>
      </c>
      <c r="BH26" s="156">
        <f t="shared" ca="1" si="68"/>
        <v>0</v>
      </c>
    </row>
    <row r="27" spans="1:60" ht="13.5" thickBot="1" x14ac:dyDescent="0.25">
      <c r="A27" s="174">
        <v>2010</v>
      </c>
      <c r="B27" s="661">
        <f t="shared" si="26"/>
        <v>138005</v>
      </c>
      <c r="C27" s="662">
        <f t="shared" si="26"/>
        <v>1000000</v>
      </c>
      <c r="D27" s="662">
        <f t="shared" si="26"/>
        <v>1000000</v>
      </c>
      <c r="E27" s="662">
        <f t="shared" si="26"/>
        <v>1000000</v>
      </c>
      <c r="F27" s="662">
        <f t="shared" si="26"/>
        <v>1000000</v>
      </c>
      <c r="G27" s="663">
        <f t="shared" si="26"/>
        <v>1000000</v>
      </c>
      <c r="H27" s="820">
        <f t="shared" si="27"/>
        <v>1</v>
      </c>
      <c r="I27" s="821">
        <f t="shared" si="27"/>
        <v>1</v>
      </c>
      <c r="J27" s="821">
        <f t="shared" si="27"/>
        <v>1</v>
      </c>
      <c r="K27" s="821">
        <f t="shared" si="27"/>
        <v>1</v>
      </c>
      <c r="L27" s="821">
        <f t="shared" si="27"/>
        <v>1</v>
      </c>
      <c r="M27" s="822">
        <f t="shared" si="27"/>
        <v>1</v>
      </c>
      <c r="N27" s="175">
        <f t="shared" si="28"/>
        <v>8752.3916990504404</v>
      </c>
      <c r="O27" s="176">
        <f t="shared" si="29"/>
        <v>46935.908245807492</v>
      </c>
      <c r="P27" s="176">
        <f t="shared" si="30"/>
        <v>46935.908245807492</v>
      </c>
      <c r="Q27" s="176">
        <f t="shared" si="31"/>
        <v>228550.91432391098</v>
      </c>
      <c r="R27" s="176">
        <f t="shared" si="32"/>
        <v>228103.5373879812</v>
      </c>
      <c r="S27" s="178">
        <f t="shared" si="33"/>
        <v>46935.908245807492</v>
      </c>
      <c r="T27" s="175">
        <f t="shared" si="34"/>
        <v>-38183.516546757048</v>
      </c>
      <c r="U27" s="176">
        <f t="shared" si="35"/>
        <v>-38183.516546757048</v>
      </c>
      <c r="V27" s="176">
        <f t="shared" si="36"/>
        <v>-219798.52262486055</v>
      </c>
      <c r="W27" s="176">
        <f t="shared" si="37"/>
        <v>-219351.14568893076</v>
      </c>
      <c r="X27" s="178">
        <f t="shared" si="38"/>
        <v>-38183.516546757048</v>
      </c>
      <c r="Y27" s="179">
        <f ca="1">IF(AND(Y$22=TRUE,INDEX(CDRANGE_CLS2,MATCH($A27,$A$24:$A$67,0),MATCH(Y$20,$B$20:$G$20,0))&lt;$D$6/OPDAYS_Cls2),86,payback(C27,T27,disc_rate/12,85))</f>
        <v>86</v>
      </c>
      <c r="Z27" s="180">
        <f ca="1">IF(AND(Z$22=TRUE,INDEX(CDRANGE_CLS2,MATCH($A27,$A$24:$A$67,0),MATCH(Z$20,$B$20:$G$20,0))&lt;$D$6/OPDAYS_Cls2),86,payback(D27,U27,disc_rate/12,85))</f>
        <v>86</v>
      </c>
      <c r="AA27" s="180">
        <f>IF(AND(AA$22=TRUE,INDEX(CDRANGE_CLS2,MATCH($A27,$A$24:$A$67,0),MATCH(AA$20,$B$20:$G$20,0))&lt;$D$6/OPDAYS_Cls2),86,payback(E27,V27,disc_rate/12,85))</f>
        <v>86</v>
      </c>
      <c r="AB27" s="180">
        <f ca="1">IF(AND(AB$22=TRUE,INDEX(CDRANGE_CLS2,MATCH($A27,$A$24:$A$67,0),MATCH(AB$20,$B$20:$G$20,0))&lt;$D$6/OPDAYS_Cls2),86,payback(F27,W27,disc_rate/12,85))</f>
        <v>86</v>
      </c>
      <c r="AC27" s="181">
        <f ca="1">IF(AND(AC$22=TRUE,INDEX(CDRANGE_CLS2,MATCH($A27,$A$24:$A$67,0),MATCH(AC$20,$B$20:$G$20,0))&lt;$D$6/OPDAYS_Cls2),86,payback(G27,X27,disc_rate/12,85))</f>
        <v>86</v>
      </c>
      <c r="AD27" s="182">
        <f t="shared" si="39"/>
        <v>0</v>
      </c>
      <c r="AE27" s="183">
        <f t="shared" si="40"/>
        <v>0</v>
      </c>
      <c r="AF27" s="183">
        <f t="shared" si="41"/>
        <v>0</v>
      </c>
      <c r="AG27" s="183">
        <f t="shared" si="42"/>
        <v>0</v>
      </c>
      <c r="AH27" s="184">
        <f t="shared" si="43"/>
        <v>0</v>
      </c>
      <c r="AI27" s="185">
        <f t="shared" si="44"/>
        <v>0</v>
      </c>
      <c r="AJ27" s="186">
        <f t="shared" si="45"/>
        <v>0</v>
      </c>
      <c r="AK27" s="186">
        <f t="shared" si="46"/>
        <v>0</v>
      </c>
      <c r="AL27" s="186">
        <f t="shared" si="47"/>
        <v>0</v>
      </c>
      <c r="AM27" s="446">
        <f t="shared" si="48"/>
        <v>0</v>
      </c>
      <c r="AN27" s="185">
        <f t="shared" si="60"/>
        <v>0</v>
      </c>
      <c r="AO27" s="186">
        <f t="shared" si="49"/>
        <v>0</v>
      </c>
      <c r="AP27" s="186">
        <f t="shared" si="49"/>
        <v>0</v>
      </c>
      <c r="AQ27" s="186">
        <f t="shared" si="49"/>
        <v>0</v>
      </c>
      <c r="AR27" s="187">
        <f t="shared" si="49"/>
        <v>0</v>
      </c>
      <c r="AS27" s="191">
        <f t="shared" ca="1" si="50"/>
        <v>0</v>
      </c>
      <c r="AT27" s="192">
        <f t="shared" ca="1" si="51"/>
        <v>0</v>
      </c>
      <c r="AU27" s="192">
        <f t="shared" si="52"/>
        <v>0</v>
      </c>
      <c r="AV27" s="192">
        <f t="shared" ca="1" si="53"/>
        <v>0</v>
      </c>
      <c r="AW27" s="193">
        <f t="shared" ca="1" si="54"/>
        <v>0</v>
      </c>
      <c r="AX27" s="182">
        <f t="shared" ca="1" si="55"/>
        <v>0</v>
      </c>
      <c r="AY27" s="183">
        <f t="shared" ca="1" si="56"/>
        <v>0</v>
      </c>
      <c r="AZ27" s="183">
        <f t="shared" si="57"/>
        <v>0</v>
      </c>
      <c r="BA27" s="183">
        <f t="shared" ca="1" si="61"/>
        <v>0</v>
      </c>
      <c r="BB27" s="184">
        <f t="shared" ca="1" si="62"/>
        <v>0</v>
      </c>
      <c r="BC27" s="182">
        <f t="shared" ca="1" si="63"/>
        <v>1</v>
      </c>
      <c r="BD27" s="183">
        <f t="shared" ca="1" si="64"/>
        <v>0</v>
      </c>
      <c r="BE27" s="183">
        <f t="shared" ca="1" si="65"/>
        <v>0</v>
      </c>
      <c r="BF27" s="183">
        <f t="shared" ca="1" si="66"/>
        <v>0</v>
      </c>
      <c r="BG27" s="183">
        <f t="shared" ca="1" si="67"/>
        <v>0</v>
      </c>
      <c r="BH27" s="184">
        <f t="shared" ca="1" si="68"/>
        <v>0</v>
      </c>
    </row>
    <row r="28" spans="1:60" x14ac:dyDescent="0.2">
      <c r="A28" s="188">
        <v>2011</v>
      </c>
      <c r="B28" s="664">
        <f t="shared" si="26"/>
        <v>138005</v>
      </c>
      <c r="C28" s="665">
        <f t="shared" si="26"/>
        <v>1000000</v>
      </c>
      <c r="D28" s="665">
        <f t="shared" si="26"/>
        <v>1000000</v>
      </c>
      <c r="E28" s="665">
        <f t="shared" si="26"/>
        <v>1000000</v>
      </c>
      <c r="F28" s="665">
        <f t="shared" si="26"/>
        <v>1000000</v>
      </c>
      <c r="G28" s="666">
        <f t="shared" si="26"/>
        <v>1000000</v>
      </c>
      <c r="H28" s="823">
        <f t="shared" si="27"/>
        <v>1</v>
      </c>
      <c r="I28" s="824">
        <f t="shared" si="27"/>
        <v>1</v>
      </c>
      <c r="J28" s="824">
        <f t="shared" si="27"/>
        <v>1</v>
      </c>
      <c r="K28" s="824">
        <f t="shared" si="27"/>
        <v>1</v>
      </c>
      <c r="L28" s="824">
        <f t="shared" si="27"/>
        <v>1</v>
      </c>
      <c r="M28" s="825">
        <f t="shared" si="27"/>
        <v>1</v>
      </c>
      <c r="N28" s="147">
        <f t="shared" si="28"/>
        <v>11339.34362667391</v>
      </c>
      <c r="O28" s="148">
        <f t="shared" si="29"/>
        <v>62135.793122563649</v>
      </c>
      <c r="P28" s="148">
        <f t="shared" si="30"/>
        <v>62135.793122563649</v>
      </c>
      <c r="Q28" s="148">
        <f t="shared" si="31"/>
        <v>180550.88145288127</v>
      </c>
      <c r="R28" s="148">
        <f t="shared" si="32"/>
        <v>228103.5373879812</v>
      </c>
      <c r="S28" s="150">
        <f t="shared" si="33"/>
        <v>62135.793122563649</v>
      </c>
      <c r="T28" s="147">
        <f t="shared" si="34"/>
        <v>-50796.449495889741</v>
      </c>
      <c r="U28" s="148">
        <f t="shared" si="35"/>
        <v>-50796.449495889741</v>
      </c>
      <c r="V28" s="148">
        <f t="shared" si="36"/>
        <v>-169211.53782620735</v>
      </c>
      <c r="W28" s="148">
        <f t="shared" si="37"/>
        <v>-216764.19376130728</v>
      </c>
      <c r="X28" s="150">
        <f t="shared" si="38"/>
        <v>-50796.449495889741</v>
      </c>
      <c r="Y28" s="151">
        <f ca="1">IF(AND(Y$22=TRUE,INDEX(CDRANGE_CLS2,MATCH($A28,$A$24:$A$67,0),MATCH(Y$20,$B$20:$G$20,0))&lt;$D$6/OPDAYS_Cls2),86,payback(C28,T28,disc_rate/12,85))</f>
        <v>86</v>
      </c>
      <c r="Z28" s="152">
        <f ca="1">IF(AND(Z$22=TRUE,INDEX(CDRANGE_CLS2,MATCH($A28,$A$24:$A$67,0),MATCH(Z$20,$B$20:$G$20,0))&lt;$D$6/OPDAYS_Cls2),86,payback(D28,U28,disc_rate/12,85))</f>
        <v>86</v>
      </c>
      <c r="AA28" s="152">
        <f>IF(AND(AA$22=TRUE,INDEX(CDRANGE_CLS2,MATCH($A28,$A$24:$A$67,0),MATCH(AA$20,$B$20:$G$20,0))&lt;$D$6/OPDAYS_Cls2),86,payback(E28,V28,disc_rate/12,85))</f>
        <v>86</v>
      </c>
      <c r="AB28" s="152">
        <f ca="1">IF(AND(AB$22=TRUE,INDEX(CDRANGE_CLS2,MATCH($A28,$A$24:$A$67,0),MATCH(AB$20,$B$20:$G$20,0))&lt;$D$6/OPDAYS_Cls2),86,payback(F28,W28,disc_rate/12,85))</f>
        <v>86</v>
      </c>
      <c r="AC28" s="153">
        <f ca="1">IF(AND(AC$22=TRUE,INDEX(CDRANGE_CLS2,MATCH($A28,$A$24:$A$67,0),MATCH(AC$20,$B$20:$G$20,0))&lt;$D$6/OPDAYS_Cls2),86,payback(G28,X28,disc_rate/12,85))</f>
        <v>86</v>
      </c>
      <c r="AD28" s="154">
        <f t="shared" si="39"/>
        <v>0</v>
      </c>
      <c r="AE28" s="155">
        <f t="shared" si="40"/>
        <v>0</v>
      </c>
      <c r="AF28" s="155">
        <f t="shared" si="41"/>
        <v>0</v>
      </c>
      <c r="AG28" s="155">
        <f t="shared" si="42"/>
        <v>0</v>
      </c>
      <c r="AH28" s="156">
        <f t="shared" si="43"/>
        <v>0</v>
      </c>
      <c r="AI28" s="157">
        <f t="shared" si="44"/>
        <v>0</v>
      </c>
      <c r="AJ28" s="158">
        <f t="shared" si="45"/>
        <v>0</v>
      </c>
      <c r="AK28" s="158">
        <f t="shared" si="46"/>
        <v>0</v>
      </c>
      <c r="AL28" s="158">
        <f t="shared" si="47"/>
        <v>0</v>
      </c>
      <c r="AM28" s="159">
        <f t="shared" si="48"/>
        <v>0</v>
      </c>
      <c r="AN28" s="490">
        <f t="shared" si="60"/>
        <v>0</v>
      </c>
      <c r="AO28" s="488">
        <f t="shared" si="49"/>
        <v>0</v>
      </c>
      <c r="AP28" s="488">
        <f t="shared" si="49"/>
        <v>0</v>
      </c>
      <c r="AQ28" s="488">
        <f t="shared" si="49"/>
        <v>0</v>
      </c>
      <c r="AR28" s="489">
        <f t="shared" si="49"/>
        <v>0</v>
      </c>
      <c r="AS28" s="154">
        <f t="shared" ca="1" si="50"/>
        <v>0</v>
      </c>
      <c r="AT28" s="155">
        <f t="shared" ca="1" si="51"/>
        <v>0</v>
      </c>
      <c r="AU28" s="155">
        <f t="shared" si="52"/>
        <v>0</v>
      </c>
      <c r="AV28" s="155">
        <f t="shared" ca="1" si="53"/>
        <v>0</v>
      </c>
      <c r="AW28" s="156">
        <f t="shared" ca="1" si="54"/>
        <v>0</v>
      </c>
      <c r="AX28" s="154">
        <f t="shared" ca="1" si="55"/>
        <v>0</v>
      </c>
      <c r="AY28" s="155">
        <f t="shared" ca="1" si="56"/>
        <v>0</v>
      </c>
      <c r="AZ28" s="155">
        <f t="shared" si="57"/>
        <v>0</v>
      </c>
      <c r="BA28" s="155">
        <f t="shared" ca="1" si="61"/>
        <v>0</v>
      </c>
      <c r="BB28" s="156">
        <f t="shared" ca="1" si="62"/>
        <v>0</v>
      </c>
      <c r="BC28" s="154">
        <f t="shared" ca="1" si="63"/>
        <v>1</v>
      </c>
      <c r="BD28" s="155">
        <f t="shared" ca="1" si="64"/>
        <v>0</v>
      </c>
      <c r="BE28" s="155">
        <f t="shared" ca="1" si="65"/>
        <v>0</v>
      </c>
      <c r="BF28" s="155">
        <f t="shared" ca="1" si="66"/>
        <v>0</v>
      </c>
      <c r="BG28" s="155">
        <f t="shared" ca="1" si="67"/>
        <v>0</v>
      </c>
      <c r="BH28" s="156">
        <f t="shared" ca="1" si="68"/>
        <v>0</v>
      </c>
    </row>
    <row r="29" spans="1:60" x14ac:dyDescent="0.2">
      <c r="A29" s="189">
        <v>2012</v>
      </c>
      <c r="B29" s="667">
        <f t="shared" si="26"/>
        <v>138005</v>
      </c>
      <c r="C29" s="668">
        <f t="shared" si="26"/>
        <v>1000000</v>
      </c>
      <c r="D29" s="668">
        <f t="shared" si="26"/>
        <v>1000000</v>
      </c>
      <c r="E29" s="668">
        <f t="shared" si="26"/>
        <v>1000000</v>
      </c>
      <c r="F29" s="668">
        <f t="shared" si="26"/>
        <v>1000000</v>
      </c>
      <c r="G29" s="669">
        <f t="shared" si="26"/>
        <v>1000000</v>
      </c>
      <c r="H29" s="826">
        <f t="shared" si="27"/>
        <v>1</v>
      </c>
      <c r="I29" s="827">
        <f t="shared" si="27"/>
        <v>1</v>
      </c>
      <c r="J29" s="827">
        <f t="shared" si="27"/>
        <v>1</v>
      </c>
      <c r="K29" s="827">
        <f t="shared" si="27"/>
        <v>1</v>
      </c>
      <c r="L29" s="827">
        <f t="shared" si="27"/>
        <v>1</v>
      </c>
      <c r="M29" s="828">
        <f t="shared" si="27"/>
        <v>1</v>
      </c>
      <c r="N29" s="161">
        <f t="shared" si="28"/>
        <v>11860.949777490674</v>
      </c>
      <c r="O29" s="162">
        <f t="shared" si="29"/>
        <v>65536.094100928531</v>
      </c>
      <c r="P29" s="162">
        <f t="shared" si="30"/>
        <v>65536.094100928531</v>
      </c>
      <c r="Q29" s="162">
        <f t="shared" si="31"/>
        <v>154327.28940737376</v>
      </c>
      <c r="R29" s="162">
        <f t="shared" si="32"/>
        <v>228103.5373879812</v>
      </c>
      <c r="S29" s="164">
        <f t="shared" si="33"/>
        <v>65536.094100928531</v>
      </c>
      <c r="T29" s="161">
        <f t="shared" si="34"/>
        <v>-53675.144323437853</v>
      </c>
      <c r="U29" s="162">
        <f t="shared" si="35"/>
        <v>-53675.144323437853</v>
      </c>
      <c r="V29" s="162">
        <f t="shared" si="36"/>
        <v>-142466.33962988309</v>
      </c>
      <c r="W29" s="162">
        <f t="shared" si="37"/>
        <v>-216242.58761049053</v>
      </c>
      <c r="X29" s="164">
        <f t="shared" si="38"/>
        <v>-53675.144323437853</v>
      </c>
      <c r="Y29" s="165">
        <f ca="1">IF(AND(Y$22=TRUE,INDEX(CDRANGE_CLS2,MATCH($A29,$A$24:$A$67,0),MATCH(Y$20,$B$20:$G$20,0))&lt;$D$6/OPDAYS_Cls2),86,payback(C29,T29,disc_rate/12,85))</f>
        <v>86</v>
      </c>
      <c r="Z29" s="166">
        <f ca="1">IF(AND(Z$22=TRUE,INDEX(CDRANGE_CLS2,MATCH($A29,$A$24:$A$67,0),MATCH(Z$20,$B$20:$G$20,0))&lt;$D$6/OPDAYS_Cls2),86,payback(D29,U29,disc_rate/12,85))</f>
        <v>86</v>
      </c>
      <c r="AA29" s="166">
        <f>IF(AND(AA$22=TRUE,INDEX(CDRANGE_CLS2,MATCH($A29,$A$24:$A$67,0),MATCH(AA$20,$B$20:$G$20,0))&lt;$D$6/OPDAYS_Cls2),86,payback(E29,V29,disc_rate/12,85))</f>
        <v>86</v>
      </c>
      <c r="AB29" s="166">
        <f ca="1">IF(AND(AB$22=TRUE,INDEX(CDRANGE_CLS2,MATCH($A29,$A$24:$A$67,0),MATCH(AB$20,$B$20:$G$20,0))&lt;$D$6/OPDAYS_Cls2),86,payback(F29,W29,disc_rate/12,85))</f>
        <v>86</v>
      </c>
      <c r="AC29" s="167">
        <f ca="1">IF(AND(AC$22=TRUE,INDEX(CDRANGE_CLS2,MATCH($A29,$A$24:$A$67,0),MATCH(AC$20,$B$20:$G$20,0))&lt;$D$6/OPDAYS_Cls2),86,payback(G29,X29,disc_rate/12,85))</f>
        <v>86</v>
      </c>
      <c r="AD29" s="168">
        <f t="shared" si="39"/>
        <v>0</v>
      </c>
      <c r="AE29" s="169">
        <f t="shared" si="40"/>
        <v>0</v>
      </c>
      <c r="AF29" s="169">
        <f t="shared" si="41"/>
        <v>0</v>
      </c>
      <c r="AG29" s="169">
        <f t="shared" si="42"/>
        <v>0</v>
      </c>
      <c r="AH29" s="170">
        <f t="shared" si="43"/>
        <v>0</v>
      </c>
      <c r="AI29" s="171">
        <f t="shared" si="44"/>
        <v>0</v>
      </c>
      <c r="AJ29" s="172">
        <f t="shared" si="45"/>
        <v>0</v>
      </c>
      <c r="AK29" s="172">
        <f t="shared" si="46"/>
        <v>0</v>
      </c>
      <c r="AL29" s="172">
        <f t="shared" si="47"/>
        <v>0</v>
      </c>
      <c r="AM29" s="173">
        <f t="shared" si="48"/>
        <v>0</v>
      </c>
      <c r="AN29" s="171">
        <f t="shared" si="60"/>
        <v>0</v>
      </c>
      <c r="AO29" s="172">
        <f t="shared" si="49"/>
        <v>0</v>
      </c>
      <c r="AP29" s="172">
        <f t="shared" si="49"/>
        <v>0</v>
      </c>
      <c r="AQ29" s="172">
        <f t="shared" si="49"/>
        <v>0</v>
      </c>
      <c r="AR29" s="445">
        <f t="shared" si="49"/>
        <v>0</v>
      </c>
      <c r="AS29" s="154">
        <f t="shared" ca="1" si="50"/>
        <v>0</v>
      </c>
      <c r="AT29" s="155">
        <f t="shared" ca="1" si="51"/>
        <v>0</v>
      </c>
      <c r="AU29" s="155">
        <f t="shared" si="52"/>
        <v>0</v>
      </c>
      <c r="AV29" s="155">
        <f t="shared" ca="1" si="53"/>
        <v>0</v>
      </c>
      <c r="AW29" s="156">
        <f t="shared" ca="1" si="54"/>
        <v>0</v>
      </c>
      <c r="AX29" s="168">
        <f t="shared" ca="1" si="55"/>
        <v>0</v>
      </c>
      <c r="AY29" s="169">
        <f t="shared" ca="1" si="56"/>
        <v>0</v>
      </c>
      <c r="AZ29" s="169">
        <f t="shared" si="57"/>
        <v>0</v>
      </c>
      <c r="BA29" s="155">
        <f t="shared" ca="1" si="61"/>
        <v>0</v>
      </c>
      <c r="BB29" s="156">
        <f t="shared" ca="1" si="62"/>
        <v>0</v>
      </c>
      <c r="BC29" s="154">
        <f t="shared" ca="1" si="63"/>
        <v>1</v>
      </c>
      <c r="BD29" s="155">
        <f t="shared" ca="1" si="64"/>
        <v>0</v>
      </c>
      <c r="BE29" s="155">
        <f t="shared" ca="1" si="65"/>
        <v>0</v>
      </c>
      <c r="BF29" s="155">
        <f t="shared" ca="1" si="66"/>
        <v>0</v>
      </c>
      <c r="BG29" s="155">
        <f t="shared" ca="1" si="67"/>
        <v>0</v>
      </c>
      <c r="BH29" s="156">
        <f t="shared" ca="1" si="68"/>
        <v>0</v>
      </c>
    </row>
    <row r="30" spans="1:60" x14ac:dyDescent="0.2">
      <c r="A30" s="189">
        <v>2013</v>
      </c>
      <c r="B30" s="667">
        <f t="shared" si="26"/>
        <v>138005</v>
      </c>
      <c r="C30" s="668">
        <f t="shared" si="26"/>
        <v>1000000</v>
      </c>
      <c r="D30" s="668">
        <f t="shared" si="26"/>
        <v>1000000</v>
      </c>
      <c r="E30" s="668">
        <f t="shared" si="26"/>
        <v>1000000</v>
      </c>
      <c r="F30" s="668">
        <f t="shared" si="26"/>
        <v>1000000</v>
      </c>
      <c r="G30" s="669">
        <f t="shared" si="26"/>
        <v>1000000</v>
      </c>
      <c r="H30" s="826">
        <f t="shared" si="27"/>
        <v>1</v>
      </c>
      <c r="I30" s="827">
        <f t="shared" si="27"/>
        <v>1</v>
      </c>
      <c r="J30" s="827">
        <f t="shared" si="27"/>
        <v>1</v>
      </c>
      <c r="K30" s="827">
        <f t="shared" si="27"/>
        <v>1</v>
      </c>
      <c r="L30" s="827">
        <f t="shared" si="27"/>
        <v>1</v>
      </c>
      <c r="M30" s="828">
        <f t="shared" si="27"/>
        <v>1</v>
      </c>
      <c r="N30" s="161">
        <f t="shared" si="28"/>
        <v>11713.892999550771</v>
      </c>
      <c r="O30" s="162">
        <f t="shared" si="29"/>
        <v>65728.783480081052</v>
      </c>
      <c r="P30" s="162">
        <f t="shared" si="30"/>
        <v>65728.783480081052</v>
      </c>
      <c r="Q30" s="162">
        <f t="shared" si="31"/>
        <v>158190.65391351801</v>
      </c>
      <c r="R30" s="162">
        <f t="shared" si="32"/>
        <v>228103.5373879812</v>
      </c>
      <c r="S30" s="164">
        <f t="shared" si="33"/>
        <v>65728.783480081052</v>
      </c>
      <c r="T30" s="161">
        <f t="shared" si="34"/>
        <v>-54014.890480530281</v>
      </c>
      <c r="U30" s="162">
        <f t="shared" si="35"/>
        <v>-54014.890480530281</v>
      </c>
      <c r="V30" s="162">
        <f t="shared" si="36"/>
        <v>-146476.76091396724</v>
      </c>
      <c r="W30" s="162">
        <f t="shared" si="37"/>
        <v>-216389.64438843043</v>
      </c>
      <c r="X30" s="164">
        <f t="shared" si="38"/>
        <v>-54014.890480530281</v>
      </c>
      <c r="Y30" s="165">
        <f ca="1">IF(AND(Y$22=TRUE,INDEX(CDRANGE_CLS2,MATCH($A30,$A$24:$A$67,0),MATCH(Y$20,$B$20:$G$20,0))&lt;$D$6/OPDAYS_Cls2),86,payback(C30,T30,disc_rate/12,85))</f>
        <v>86</v>
      </c>
      <c r="Z30" s="166">
        <f ca="1">IF(AND(Z$22=TRUE,INDEX(CDRANGE_CLS2,MATCH($A30,$A$24:$A$67,0),MATCH(Z$20,$B$20:$G$20,0))&lt;$D$6/OPDAYS_Cls2),86,payback(D30,U30,disc_rate/12,85))</f>
        <v>86</v>
      </c>
      <c r="AA30" s="166">
        <f>IF(AND(AA$22=TRUE,INDEX(CDRANGE_CLS2,MATCH($A30,$A$24:$A$67,0),MATCH(AA$20,$B$20:$G$20,0))&lt;$D$6/OPDAYS_Cls2),86,payback(E30,V30,disc_rate/12,85))</f>
        <v>86</v>
      </c>
      <c r="AB30" s="166">
        <f ca="1">IF(AND(AB$22=TRUE,INDEX(CDRANGE_CLS2,MATCH($A30,$A$24:$A$67,0),MATCH(AB$20,$B$20:$G$20,0))&lt;$D$6/OPDAYS_Cls2),86,payback(F30,W30,disc_rate/12,85))</f>
        <v>86</v>
      </c>
      <c r="AC30" s="167">
        <f ca="1">IF(AND(AC$22=TRUE,INDEX(CDRANGE_CLS2,MATCH($A30,$A$24:$A$67,0),MATCH(AC$20,$B$20:$G$20,0))&lt;$D$6/OPDAYS_Cls2),86,payback(G30,X30,disc_rate/12,85))</f>
        <v>86</v>
      </c>
      <c r="AD30" s="168">
        <f t="shared" si="39"/>
        <v>0</v>
      </c>
      <c r="AE30" s="169">
        <f t="shared" si="40"/>
        <v>0</v>
      </c>
      <c r="AF30" s="169">
        <f t="shared" si="41"/>
        <v>0</v>
      </c>
      <c r="AG30" s="169">
        <f t="shared" si="42"/>
        <v>0</v>
      </c>
      <c r="AH30" s="170">
        <f t="shared" si="43"/>
        <v>0</v>
      </c>
      <c r="AI30" s="171">
        <f t="shared" si="44"/>
        <v>0</v>
      </c>
      <c r="AJ30" s="172">
        <f t="shared" si="45"/>
        <v>0</v>
      </c>
      <c r="AK30" s="172">
        <f t="shared" si="46"/>
        <v>0</v>
      </c>
      <c r="AL30" s="172">
        <f t="shared" si="47"/>
        <v>0</v>
      </c>
      <c r="AM30" s="173">
        <f t="shared" si="48"/>
        <v>0</v>
      </c>
      <c r="AN30" s="171">
        <f t="shared" si="60"/>
        <v>0</v>
      </c>
      <c r="AO30" s="172">
        <f t="shared" si="49"/>
        <v>0</v>
      </c>
      <c r="AP30" s="172">
        <f t="shared" si="49"/>
        <v>0</v>
      </c>
      <c r="AQ30" s="172">
        <f t="shared" si="49"/>
        <v>0</v>
      </c>
      <c r="AR30" s="445">
        <f t="shared" si="49"/>
        <v>0</v>
      </c>
      <c r="AS30" s="154">
        <f t="shared" ca="1" si="50"/>
        <v>0</v>
      </c>
      <c r="AT30" s="155">
        <f t="shared" ca="1" si="51"/>
        <v>0</v>
      </c>
      <c r="AU30" s="155">
        <f t="shared" si="52"/>
        <v>0</v>
      </c>
      <c r="AV30" s="155">
        <f t="shared" ca="1" si="53"/>
        <v>0</v>
      </c>
      <c r="AW30" s="156">
        <f t="shared" ca="1" si="54"/>
        <v>0</v>
      </c>
      <c r="AX30" s="168">
        <f t="shared" ca="1" si="55"/>
        <v>0</v>
      </c>
      <c r="AY30" s="169">
        <f t="shared" ca="1" si="56"/>
        <v>0</v>
      </c>
      <c r="AZ30" s="169">
        <f t="shared" si="57"/>
        <v>0</v>
      </c>
      <c r="BA30" s="155">
        <f t="shared" ca="1" si="61"/>
        <v>0</v>
      </c>
      <c r="BB30" s="156">
        <f t="shared" ca="1" si="62"/>
        <v>0</v>
      </c>
      <c r="BC30" s="154">
        <f t="shared" ca="1" si="63"/>
        <v>1</v>
      </c>
      <c r="BD30" s="155">
        <f t="shared" ca="1" si="64"/>
        <v>0</v>
      </c>
      <c r="BE30" s="155">
        <f t="shared" ca="1" si="65"/>
        <v>0</v>
      </c>
      <c r="BF30" s="155">
        <f t="shared" ca="1" si="66"/>
        <v>0</v>
      </c>
      <c r="BG30" s="155">
        <f t="shared" ca="1" si="67"/>
        <v>0</v>
      </c>
      <c r="BH30" s="156">
        <f t="shared" ca="1" si="68"/>
        <v>0</v>
      </c>
    </row>
    <row r="31" spans="1:60" x14ac:dyDescent="0.2">
      <c r="A31" s="189">
        <v>2014</v>
      </c>
      <c r="B31" s="667">
        <f t="shared" si="26"/>
        <v>138005</v>
      </c>
      <c r="C31" s="668">
        <f t="shared" si="26"/>
        <v>1000000</v>
      </c>
      <c r="D31" s="668">
        <f t="shared" si="26"/>
        <v>1000000</v>
      </c>
      <c r="E31" s="668">
        <f t="shared" si="26"/>
        <v>1000000</v>
      </c>
      <c r="F31" s="668">
        <f t="shared" si="26"/>
        <v>1000000</v>
      </c>
      <c r="G31" s="669">
        <f t="shared" si="26"/>
        <v>1000000</v>
      </c>
      <c r="H31" s="826">
        <f t="shared" si="27"/>
        <v>1</v>
      </c>
      <c r="I31" s="827">
        <f t="shared" si="27"/>
        <v>1</v>
      </c>
      <c r="J31" s="827">
        <f t="shared" si="27"/>
        <v>1</v>
      </c>
      <c r="K31" s="827">
        <f t="shared" si="27"/>
        <v>1</v>
      </c>
      <c r="L31" s="827">
        <f t="shared" si="27"/>
        <v>1</v>
      </c>
      <c r="M31" s="828">
        <f t="shared" si="27"/>
        <v>1</v>
      </c>
      <c r="N31" s="161">
        <f t="shared" si="28"/>
        <v>11440.907085856257</v>
      </c>
      <c r="O31" s="162">
        <f t="shared" si="29"/>
        <v>65138.804843422527</v>
      </c>
      <c r="P31" s="162">
        <f t="shared" si="30"/>
        <v>65138.804843422527</v>
      </c>
      <c r="Q31" s="162">
        <f t="shared" si="31"/>
        <v>164185.43047193429</v>
      </c>
      <c r="R31" s="162">
        <f t="shared" si="32"/>
        <v>228103.5373879812</v>
      </c>
      <c r="S31" s="164">
        <f t="shared" si="33"/>
        <v>65138.804843422527</v>
      </c>
      <c r="T31" s="161">
        <f t="shared" si="34"/>
        <v>-53697.897757566272</v>
      </c>
      <c r="U31" s="162">
        <f t="shared" si="35"/>
        <v>-53697.897757566272</v>
      </c>
      <c r="V31" s="162">
        <f t="shared" si="36"/>
        <v>-152744.52338607804</v>
      </c>
      <c r="W31" s="162">
        <f t="shared" si="37"/>
        <v>-216662.63030212495</v>
      </c>
      <c r="X31" s="164">
        <f t="shared" si="38"/>
        <v>-53697.897757566272</v>
      </c>
      <c r="Y31" s="165">
        <f ca="1">IF(AND(Y$22=TRUE,INDEX(CDRANGE_CLS2,MATCH($A31,$A$24:$A$67,0),MATCH(Y$20,$B$20:$G$20,0))&lt;$D$6/OPDAYS_Cls2),86,payback(C31,T31,disc_rate/12,85))</f>
        <v>86</v>
      </c>
      <c r="Z31" s="166">
        <f ca="1">IF(AND(Z$22=TRUE,INDEX(CDRANGE_CLS2,MATCH($A31,$A$24:$A$67,0),MATCH(Z$20,$B$20:$G$20,0))&lt;$D$6/OPDAYS_Cls2),86,payback(D31,U31,disc_rate/12,85))</f>
        <v>86</v>
      </c>
      <c r="AA31" s="166">
        <f>IF(AND(AA$22=TRUE,INDEX(CDRANGE_CLS2,MATCH($A31,$A$24:$A$67,0),MATCH(AA$20,$B$20:$G$20,0))&lt;$D$6/OPDAYS_Cls2),86,payback(E31,V31,disc_rate/12,85))</f>
        <v>86</v>
      </c>
      <c r="AB31" s="166">
        <f ca="1">IF(AND(AB$22=TRUE,INDEX(CDRANGE_CLS2,MATCH($A31,$A$24:$A$67,0),MATCH(AB$20,$B$20:$G$20,0))&lt;$D$6/OPDAYS_Cls2),86,payback(F31,W31,disc_rate/12,85))</f>
        <v>86</v>
      </c>
      <c r="AC31" s="167">
        <f ca="1">IF(AND(AC$22=TRUE,INDEX(CDRANGE_CLS2,MATCH($A31,$A$24:$A$67,0),MATCH(AC$20,$B$20:$G$20,0))&lt;$D$6/OPDAYS_Cls2),86,payback(G31,X31,disc_rate/12,85))</f>
        <v>86</v>
      </c>
      <c r="AD31" s="168">
        <f t="shared" si="39"/>
        <v>0</v>
      </c>
      <c r="AE31" s="169">
        <f t="shared" si="40"/>
        <v>0</v>
      </c>
      <c r="AF31" s="169">
        <f t="shared" si="41"/>
        <v>0</v>
      </c>
      <c r="AG31" s="169">
        <f t="shared" si="42"/>
        <v>0</v>
      </c>
      <c r="AH31" s="170">
        <f t="shared" si="43"/>
        <v>0</v>
      </c>
      <c r="AI31" s="171">
        <f t="shared" si="44"/>
        <v>0</v>
      </c>
      <c r="AJ31" s="172">
        <f t="shared" si="45"/>
        <v>0</v>
      </c>
      <c r="AK31" s="172">
        <f t="shared" si="46"/>
        <v>0</v>
      </c>
      <c r="AL31" s="172">
        <f t="shared" si="47"/>
        <v>0</v>
      </c>
      <c r="AM31" s="173">
        <f t="shared" si="48"/>
        <v>0</v>
      </c>
      <c r="AN31" s="171">
        <f t="shared" si="60"/>
        <v>0</v>
      </c>
      <c r="AO31" s="172">
        <f t="shared" si="49"/>
        <v>0</v>
      </c>
      <c r="AP31" s="172">
        <f t="shared" si="49"/>
        <v>0</v>
      </c>
      <c r="AQ31" s="172">
        <f t="shared" si="49"/>
        <v>0</v>
      </c>
      <c r="AR31" s="445">
        <f t="shared" si="49"/>
        <v>0</v>
      </c>
      <c r="AS31" s="154">
        <f t="shared" ca="1" si="50"/>
        <v>0</v>
      </c>
      <c r="AT31" s="155">
        <f t="shared" ca="1" si="51"/>
        <v>0</v>
      </c>
      <c r="AU31" s="155">
        <f t="shared" si="52"/>
        <v>0</v>
      </c>
      <c r="AV31" s="155">
        <f t="shared" ca="1" si="53"/>
        <v>0</v>
      </c>
      <c r="AW31" s="156">
        <f t="shared" ca="1" si="54"/>
        <v>0</v>
      </c>
      <c r="AX31" s="168">
        <f t="shared" ca="1" si="55"/>
        <v>0</v>
      </c>
      <c r="AY31" s="169">
        <f t="shared" ca="1" si="56"/>
        <v>0</v>
      </c>
      <c r="AZ31" s="169">
        <f t="shared" si="57"/>
        <v>0</v>
      </c>
      <c r="BA31" s="155">
        <f t="shared" ca="1" si="61"/>
        <v>0</v>
      </c>
      <c r="BB31" s="156">
        <f t="shared" ca="1" si="62"/>
        <v>0</v>
      </c>
      <c r="BC31" s="154">
        <f t="shared" ca="1" si="63"/>
        <v>1</v>
      </c>
      <c r="BD31" s="155">
        <f t="shared" ca="1" si="64"/>
        <v>0</v>
      </c>
      <c r="BE31" s="155">
        <f t="shared" ca="1" si="65"/>
        <v>0</v>
      </c>
      <c r="BF31" s="155">
        <f t="shared" ca="1" si="66"/>
        <v>0</v>
      </c>
      <c r="BG31" s="155">
        <f t="shared" ca="1" si="67"/>
        <v>0</v>
      </c>
      <c r="BH31" s="156">
        <f t="shared" ca="1" si="68"/>
        <v>0</v>
      </c>
    </row>
    <row r="32" spans="1:60" ht="13.5" thickBot="1" x14ac:dyDescent="0.25">
      <c r="A32" s="174">
        <v>2015</v>
      </c>
      <c r="B32" s="670">
        <f t="shared" si="26"/>
        <v>138005</v>
      </c>
      <c r="C32" s="671">
        <f t="shared" si="26"/>
        <v>1000000</v>
      </c>
      <c r="D32" s="671">
        <f t="shared" si="26"/>
        <v>1000000</v>
      </c>
      <c r="E32" s="671">
        <f t="shared" si="26"/>
        <v>1000000</v>
      </c>
      <c r="F32" s="671">
        <f t="shared" si="26"/>
        <v>1000000</v>
      </c>
      <c r="G32" s="672">
        <f t="shared" si="26"/>
        <v>1000000</v>
      </c>
      <c r="H32" s="820">
        <f t="shared" si="27"/>
        <v>1</v>
      </c>
      <c r="I32" s="821">
        <f t="shared" si="27"/>
        <v>1</v>
      </c>
      <c r="J32" s="821">
        <f t="shared" si="27"/>
        <v>1</v>
      </c>
      <c r="K32" s="821">
        <f t="shared" si="27"/>
        <v>1</v>
      </c>
      <c r="L32" s="821">
        <f t="shared" si="27"/>
        <v>1</v>
      </c>
      <c r="M32" s="822">
        <f t="shared" si="27"/>
        <v>1</v>
      </c>
      <c r="N32" s="175">
        <f t="shared" si="28"/>
        <v>7924.8072198740247</v>
      </c>
      <c r="O32" s="176">
        <f t="shared" si="29"/>
        <v>46159.989605920513</v>
      </c>
      <c r="P32" s="176">
        <f t="shared" si="30"/>
        <v>46159.989605920513</v>
      </c>
      <c r="Q32" s="176">
        <f t="shared" si="31"/>
        <v>150432.47159040737</v>
      </c>
      <c r="R32" s="176">
        <f t="shared" si="32"/>
        <v>228103.5373879812</v>
      </c>
      <c r="S32" s="178">
        <f t="shared" si="33"/>
        <v>46159.989605920513</v>
      </c>
      <c r="T32" s="175">
        <f t="shared" si="34"/>
        <v>-38235.182386046486</v>
      </c>
      <c r="U32" s="176">
        <f t="shared" si="35"/>
        <v>-38235.182386046486</v>
      </c>
      <c r="V32" s="176">
        <f t="shared" si="36"/>
        <v>-142507.66437053334</v>
      </c>
      <c r="W32" s="176">
        <f t="shared" si="37"/>
        <v>-220178.73016810717</v>
      </c>
      <c r="X32" s="178">
        <f t="shared" si="38"/>
        <v>-38235.182386046486</v>
      </c>
      <c r="Y32" s="179">
        <f ca="1">IF(AND(Y$22=TRUE,INDEX(CDRANGE_CLS2,MATCH($A32,$A$24:$A$67,0),MATCH(Y$20,$B$20:$G$20,0))&lt;$D$6/OPDAYS_Cls2),86,payback(C32,T32,disc_rate/12,85))</f>
        <v>86</v>
      </c>
      <c r="Z32" s="180">
        <f ca="1">IF(AND(Z$22=TRUE,INDEX(CDRANGE_CLS2,MATCH($A32,$A$24:$A$67,0),MATCH(Z$20,$B$20:$G$20,0))&lt;$D$6/OPDAYS_Cls2),86,payback(D32,U32,disc_rate/12,85))</f>
        <v>86</v>
      </c>
      <c r="AA32" s="180">
        <f>IF(AND(AA$22=TRUE,INDEX(CDRANGE_CLS2,MATCH($A32,$A$24:$A$67,0),MATCH(AA$20,$B$20:$G$20,0))&lt;$D$6/OPDAYS_Cls2),86,payback(E32,V32,disc_rate/12,85))</f>
        <v>86</v>
      </c>
      <c r="AB32" s="180">
        <f ca="1">IF(AND(AB$22=TRUE,INDEX(CDRANGE_CLS2,MATCH($A32,$A$24:$A$67,0),MATCH(AB$20,$B$20:$G$20,0))&lt;$D$6/OPDAYS_Cls2),86,payback(F32,W32,disc_rate/12,85))</f>
        <v>86</v>
      </c>
      <c r="AC32" s="181">
        <f ca="1">IF(AND(AC$22=TRUE,INDEX(CDRANGE_CLS2,MATCH($A32,$A$24:$A$67,0),MATCH(AC$20,$B$20:$G$20,0))&lt;$D$6/OPDAYS_Cls2),86,payback(G32,X32,disc_rate/12,85))</f>
        <v>86</v>
      </c>
      <c r="AD32" s="182">
        <f t="shared" si="39"/>
        <v>0</v>
      </c>
      <c r="AE32" s="183">
        <f t="shared" si="40"/>
        <v>0</v>
      </c>
      <c r="AF32" s="183">
        <f t="shared" si="41"/>
        <v>0</v>
      </c>
      <c r="AG32" s="183">
        <f t="shared" si="42"/>
        <v>0</v>
      </c>
      <c r="AH32" s="184">
        <f t="shared" si="43"/>
        <v>0</v>
      </c>
      <c r="AI32" s="185">
        <f t="shared" si="44"/>
        <v>0</v>
      </c>
      <c r="AJ32" s="186">
        <f t="shared" si="45"/>
        <v>0</v>
      </c>
      <c r="AK32" s="186">
        <f t="shared" si="46"/>
        <v>0</v>
      </c>
      <c r="AL32" s="186">
        <f t="shared" si="47"/>
        <v>0</v>
      </c>
      <c r="AM32" s="187">
        <f t="shared" si="48"/>
        <v>0</v>
      </c>
      <c r="AN32" s="185">
        <f t="shared" si="60"/>
        <v>0</v>
      </c>
      <c r="AO32" s="186">
        <f t="shared" si="49"/>
        <v>0</v>
      </c>
      <c r="AP32" s="186">
        <f t="shared" si="49"/>
        <v>0</v>
      </c>
      <c r="AQ32" s="186">
        <f t="shared" si="49"/>
        <v>0</v>
      </c>
      <c r="AR32" s="446">
        <f t="shared" si="49"/>
        <v>0</v>
      </c>
      <c r="AS32" s="677">
        <f t="shared" ca="1" si="50"/>
        <v>0</v>
      </c>
      <c r="AT32" s="678">
        <f t="shared" ca="1" si="51"/>
        <v>0</v>
      </c>
      <c r="AU32" s="678">
        <f t="shared" si="52"/>
        <v>0</v>
      </c>
      <c r="AV32" s="678">
        <f t="shared" ca="1" si="53"/>
        <v>0</v>
      </c>
      <c r="AW32" s="679">
        <f t="shared" ca="1" si="54"/>
        <v>0</v>
      </c>
      <c r="AX32" s="182">
        <f t="shared" ca="1" si="55"/>
        <v>0</v>
      </c>
      <c r="AY32" s="183">
        <f t="shared" ca="1" si="56"/>
        <v>0</v>
      </c>
      <c r="AZ32" s="183">
        <f t="shared" si="57"/>
        <v>0</v>
      </c>
      <c r="BA32" s="183">
        <f t="shared" ca="1" si="61"/>
        <v>0</v>
      </c>
      <c r="BB32" s="184">
        <f t="shared" ca="1" si="62"/>
        <v>0</v>
      </c>
      <c r="BC32" s="182">
        <f t="shared" ca="1" si="63"/>
        <v>1</v>
      </c>
      <c r="BD32" s="183">
        <f t="shared" ca="1" si="64"/>
        <v>0</v>
      </c>
      <c r="BE32" s="183">
        <f t="shared" ca="1" si="65"/>
        <v>0</v>
      </c>
      <c r="BF32" s="183">
        <f t="shared" ca="1" si="66"/>
        <v>0</v>
      </c>
      <c r="BG32" s="183">
        <f t="shared" ca="1" si="67"/>
        <v>0</v>
      </c>
      <c r="BH32" s="184">
        <f t="shared" ca="1" si="68"/>
        <v>0</v>
      </c>
    </row>
    <row r="33" spans="1:60" x14ac:dyDescent="0.2">
      <c r="A33" s="188">
        <v>2016</v>
      </c>
      <c r="B33" s="673">
        <f t="shared" si="26"/>
        <v>138005</v>
      </c>
      <c r="C33" s="674">
        <f t="shared" si="26"/>
        <v>1000000</v>
      </c>
      <c r="D33" s="674">
        <f t="shared" si="26"/>
        <v>1000000</v>
      </c>
      <c r="E33" s="674">
        <f t="shared" si="26"/>
        <v>1000000</v>
      </c>
      <c r="F33" s="674">
        <f t="shared" si="26"/>
        <v>1000000</v>
      </c>
      <c r="G33" s="675">
        <f t="shared" si="26"/>
        <v>1000000</v>
      </c>
      <c r="H33" s="823">
        <f t="shared" si="27"/>
        <v>1</v>
      </c>
      <c r="I33" s="824">
        <f t="shared" si="27"/>
        <v>1</v>
      </c>
      <c r="J33" s="824">
        <f t="shared" si="27"/>
        <v>1</v>
      </c>
      <c r="K33" s="824">
        <f t="shared" si="27"/>
        <v>1</v>
      </c>
      <c r="L33" s="824">
        <f t="shared" si="27"/>
        <v>1</v>
      </c>
      <c r="M33" s="825">
        <f t="shared" si="27"/>
        <v>1</v>
      </c>
      <c r="N33" s="147">
        <f t="shared" si="28"/>
        <v>6695.4962584928853</v>
      </c>
      <c r="O33" s="148">
        <f t="shared" si="29"/>
        <v>39783.19988851255</v>
      </c>
      <c r="P33" s="148">
        <f t="shared" si="30"/>
        <v>39783.19988851255</v>
      </c>
      <c r="Q33" s="148">
        <f t="shared" si="31"/>
        <v>147370.93947497665</v>
      </c>
      <c r="R33" s="148">
        <f t="shared" si="32"/>
        <v>218599.22333014864</v>
      </c>
      <c r="S33" s="150">
        <f t="shared" si="33"/>
        <v>39783.19988851255</v>
      </c>
      <c r="T33" s="147">
        <f t="shared" si="34"/>
        <v>-33087.703630019663</v>
      </c>
      <c r="U33" s="148">
        <f t="shared" si="35"/>
        <v>-33087.703630019663</v>
      </c>
      <c r="V33" s="148">
        <f t="shared" si="36"/>
        <v>-140675.44321648378</v>
      </c>
      <c r="W33" s="148">
        <f t="shared" si="37"/>
        <v>-211903.72707165577</v>
      </c>
      <c r="X33" s="150">
        <f t="shared" si="38"/>
        <v>-33087.703630019663</v>
      </c>
      <c r="Y33" s="151">
        <f ca="1">IF(AND(Y$22=TRUE,INDEX(CDRANGE_CLS2,MATCH($A33,$A$24:$A$67,0),MATCH(Y$20,$B$20:$G$20,0))&lt;$D$6/OPDAYS_Cls2),86,payback(C33,T33,disc_rate/12,85))</f>
        <v>86</v>
      </c>
      <c r="Z33" s="152">
        <f ca="1">IF(AND(Z$22=TRUE,INDEX(CDRANGE_CLS2,MATCH($A33,$A$24:$A$67,0),MATCH(Z$20,$B$20:$G$20,0))&lt;$D$6/OPDAYS_Cls2),86,payback(D33,U33,disc_rate/12,85))</f>
        <v>86</v>
      </c>
      <c r="AA33" s="152">
        <f>IF(AND(AA$22=TRUE,INDEX(CDRANGE_CLS2,MATCH($A33,$A$24:$A$67,0),MATCH(AA$20,$B$20:$G$20,0))&lt;$D$6/OPDAYS_Cls2),86,payback(E33,V33,disc_rate/12,85))</f>
        <v>86</v>
      </c>
      <c r="AB33" s="152">
        <f ca="1">IF(AND(AB$22=TRUE,INDEX(CDRANGE_CLS2,MATCH($A33,$A$24:$A$67,0),MATCH(AB$20,$B$20:$G$20,0))&lt;$D$6/OPDAYS_Cls2),86,payback(F33,W33,disc_rate/12,85))</f>
        <v>86</v>
      </c>
      <c r="AC33" s="153">
        <f ca="1">IF(AND(AC$22=TRUE,INDEX(CDRANGE_CLS2,MATCH($A33,$A$24:$A$67,0),MATCH(AC$20,$B$20:$G$20,0))&lt;$D$6/OPDAYS_Cls2),86,payback(G33,X33,disc_rate/12,85))</f>
        <v>86</v>
      </c>
      <c r="AD33" s="154">
        <f t="shared" si="39"/>
        <v>0</v>
      </c>
      <c r="AE33" s="155">
        <f t="shared" si="40"/>
        <v>0</v>
      </c>
      <c r="AF33" s="155">
        <f t="shared" si="41"/>
        <v>0</v>
      </c>
      <c r="AG33" s="155">
        <f t="shared" si="42"/>
        <v>0</v>
      </c>
      <c r="AH33" s="156">
        <f t="shared" si="43"/>
        <v>0</v>
      </c>
      <c r="AI33" s="157">
        <f t="shared" si="44"/>
        <v>0</v>
      </c>
      <c r="AJ33" s="158">
        <f t="shared" si="45"/>
        <v>0</v>
      </c>
      <c r="AK33" s="158">
        <f t="shared" si="46"/>
        <v>0</v>
      </c>
      <c r="AL33" s="158">
        <f t="shared" si="47"/>
        <v>0</v>
      </c>
      <c r="AM33" s="159">
        <f t="shared" si="48"/>
        <v>0</v>
      </c>
      <c r="AN33" s="157">
        <f t="shared" si="60"/>
        <v>0</v>
      </c>
      <c r="AO33" s="158">
        <f t="shared" si="49"/>
        <v>0</v>
      </c>
      <c r="AP33" s="158">
        <f t="shared" si="49"/>
        <v>0</v>
      </c>
      <c r="AQ33" s="158">
        <f t="shared" si="49"/>
        <v>0</v>
      </c>
      <c r="AR33" s="458">
        <f t="shared" si="49"/>
        <v>0</v>
      </c>
      <c r="AS33" s="484">
        <f t="shared" ca="1" si="50"/>
        <v>0</v>
      </c>
      <c r="AT33" s="485">
        <f t="shared" ca="1" si="51"/>
        <v>0</v>
      </c>
      <c r="AU33" s="485">
        <f t="shared" si="52"/>
        <v>0</v>
      </c>
      <c r="AV33" s="485">
        <f t="shared" ca="1" si="53"/>
        <v>0</v>
      </c>
      <c r="AW33" s="486">
        <f t="shared" ca="1" si="54"/>
        <v>0</v>
      </c>
      <c r="AX33" s="154">
        <f t="shared" ca="1" si="55"/>
        <v>0</v>
      </c>
      <c r="AY33" s="155">
        <f t="shared" ca="1" si="56"/>
        <v>0</v>
      </c>
      <c r="AZ33" s="155">
        <f t="shared" si="57"/>
        <v>0</v>
      </c>
      <c r="BA33" s="155">
        <f t="shared" ca="1" si="61"/>
        <v>0</v>
      </c>
      <c r="BB33" s="156">
        <f t="shared" ca="1" si="62"/>
        <v>0</v>
      </c>
      <c r="BC33" s="154">
        <f t="shared" ca="1" si="63"/>
        <v>1</v>
      </c>
      <c r="BD33" s="155">
        <f t="shared" ca="1" si="64"/>
        <v>0</v>
      </c>
      <c r="BE33" s="155">
        <f t="shared" ca="1" si="65"/>
        <v>0</v>
      </c>
      <c r="BF33" s="155">
        <f t="shared" ca="1" si="66"/>
        <v>0</v>
      </c>
      <c r="BG33" s="155">
        <f t="shared" ca="1" si="67"/>
        <v>0</v>
      </c>
      <c r="BH33" s="156">
        <f t="shared" ca="1" si="68"/>
        <v>0</v>
      </c>
    </row>
    <row r="34" spans="1:60" x14ac:dyDescent="0.2">
      <c r="A34" s="189">
        <v>2017</v>
      </c>
      <c r="B34" s="667">
        <f t="shared" ref="B34:G43" si="69">ROUND(INDEX(COST_Cls2,$A34-($A$24-1),MATCH(B$20,TECHOPTS_Cls2,0)),2)</f>
        <v>138005</v>
      </c>
      <c r="C34" s="668">
        <f t="shared" si="69"/>
        <v>1000000</v>
      </c>
      <c r="D34" s="668">
        <f t="shared" si="69"/>
        <v>1000000</v>
      </c>
      <c r="E34" s="668">
        <f t="shared" si="69"/>
        <v>1000000</v>
      </c>
      <c r="F34" s="668">
        <f t="shared" si="69"/>
        <v>1000000</v>
      </c>
      <c r="G34" s="669">
        <f t="shared" si="69"/>
        <v>1000000</v>
      </c>
      <c r="H34" s="826">
        <f t="shared" ref="H34:M43" si="70">IF(H$21="Single-fuel",1,1-MIN(INDEX(CDRANGE_CLS2,$A34-($A$24-1),MATCH(H$20,TECHOPTS_Cls2,0))*OPDAYS_Cls2/$D$6,1))</f>
        <v>1</v>
      </c>
      <c r="I34" s="827">
        <f t="shared" si="70"/>
        <v>1</v>
      </c>
      <c r="J34" s="827">
        <f t="shared" si="70"/>
        <v>1</v>
      </c>
      <c r="K34" s="827">
        <f t="shared" si="70"/>
        <v>1</v>
      </c>
      <c r="L34" s="827">
        <f t="shared" si="70"/>
        <v>1</v>
      </c>
      <c r="M34" s="828">
        <f t="shared" si="70"/>
        <v>1</v>
      </c>
      <c r="N34" s="161">
        <f t="shared" si="28"/>
        <v>7684.9311437322103</v>
      </c>
      <c r="O34" s="162">
        <f t="shared" si="29"/>
        <v>46733.985229121143</v>
      </c>
      <c r="P34" s="162">
        <f t="shared" si="30"/>
        <v>46733.985229121143</v>
      </c>
      <c r="Q34" s="162">
        <f t="shared" si="31"/>
        <v>148473.15736143693</v>
      </c>
      <c r="R34" s="162">
        <f t="shared" si="32"/>
        <v>209094.90927231612</v>
      </c>
      <c r="S34" s="164">
        <f t="shared" si="33"/>
        <v>46733.985229121143</v>
      </c>
      <c r="T34" s="161">
        <f t="shared" si="34"/>
        <v>-39049.054085388932</v>
      </c>
      <c r="U34" s="162">
        <f t="shared" si="35"/>
        <v>-39049.054085388932</v>
      </c>
      <c r="V34" s="162">
        <f t="shared" si="36"/>
        <v>-140788.22621770471</v>
      </c>
      <c r="W34" s="162">
        <f t="shared" si="37"/>
        <v>-201409.9781285839</v>
      </c>
      <c r="X34" s="164">
        <f t="shared" si="38"/>
        <v>-39049.054085388932</v>
      </c>
      <c r="Y34" s="165">
        <f ca="1">IF(AND(Y$22=TRUE,INDEX(CDRANGE_CLS2,MATCH($A34,$A$24:$A$67,0),MATCH(Y$20,$B$20:$G$20,0))&lt;$D$6/OPDAYS_Cls2),86,payback(C34,T34,disc_rate/12,85))</f>
        <v>86</v>
      </c>
      <c r="Z34" s="166">
        <f ca="1">IF(AND(Z$22=TRUE,INDEX(CDRANGE_CLS2,MATCH($A34,$A$24:$A$67,0),MATCH(Z$20,$B$20:$G$20,0))&lt;$D$6/OPDAYS_Cls2),86,payback(D34,U34,disc_rate/12,85))</f>
        <v>86</v>
      </c>
      <c r="AA34" s="166">
        <f>IF(AND(AA$22=TRUE,INDEX(CDRANGE_CLS2,MATCH($A34,$A$24:$A$67,0),MATCH(AA$20,$B$20:$G$20,0))&lt;$D$6/OPDAYS_Cls2),86,payback(E34,V34,disc_rate/12,85))</f>
        <v>86</v>
      </c>
      <c r="AB34" s="166">
        <f ca="1">IF(AND(AB$22=TRUE,INDEX(CDRANGE_CLS2,MATCH($A34,$A$24:$A$67,0),MATCH(AB$20,$B$20:$G$20,0))&lt;$D$6/OPDAYS_Cls2),86,payback(F34,W34,disc_rate/12,85))</f>
        <v>86</v>
      </c>
      <c r="AC34" s="167">
        <f ca="1">IF(AND(AC$22=TRUE,INDEX(CDRANGE_CLS2,MATCH($A34,$A$24:$A$67,0),MATCH(AC$20,$B$20:$G$20,0))&lt;$D$6/OPDAYS_Cls2),86,payback(G34,X34,disc_rate/12,85))</f>
        <v>86</v>
      </c>
      <c r="AD34" s="168">
        <f t="shared" si="39"/>
        <v>0</v>
      </c>
      <c r="AE34" s="169">
        <f t="shared" si="40"/>
        <v>0</v>
      </c>
      <c r="AF34" s="169">
        <f t="shared" si="41"/>
        <v>0</v>
      </c>
      <c r="AG34" s="169">
        <f t="shared" si="42"/>
        <v>0</v>
      </c>
      <c r="AH34" s="170">
        <f t="shared" si="43"/>
        <v>0</v>
      </c>
      <c r="AI34" s="171">
        <f t="shared" si="44"/>
        <v>0</v>
      </c>
      <c r="AJ34" s="172">
        <f t="shared" si="45"/>
        <v>0</v>
      </c>
      <c r="AK34" s="172">
        <f t="shared" si="46"/>
        <v>0</v>
      </c>
      <c r="AL34" s="172">
        <f t="shared" si="47"/>
        <v>0</v>
      </c>
      <c r="AM34" s="173">
        <f t="shared" si="48"/>
        <v>0</v>
      </c>
      <c r="AN34" s="171">
        <f t="shared" si="60"/>
        <v>0</v>
      </c>
      <c r="AO34" s="172">
        <f t="shared" si="49"/>
        <v>0</v>
      </c>
      <c r="AP34" s="172">
        <f t="shared" si="49"/>
        <v>0</v>
      </c>
      <c r="AQ34" s="172">
        <f t="shared" si="49"/>
        <v>0</v>
      </c>
      <c r="AR34" s="445">
        <f t="shared" si="49"/>
        <v>0</v>
      </c>
      <c r="AS34" s="154">
        <f t="shared" ca="1" si="50"/>
        <v>0</v>
      </c>
      <c r="AT34" s="155">
        <f t="shared" ca="1" si="51"/>
        <v>0</v>
      </c>
      <c r="AU34" s="155">
        <f t="shared" si="52"/>
        <v>0</v>
      </c>
      <c r="AV34" s="155">
        <f t="shared" ca="1" si="53"/>
        <v>0</v>
      </c>
      <c r="AW34" s="156">
        <f t="shared" ca="1" si="54"/>
        <v>0</v>
      </c>
      <c r="AX34" s="168">
        <f t="shared" ca="1" si="55"/>
        <v>0</v>
      </c>
      <c r="AY34" s="169">
        <f t="shared" ca="1" si="56"/>
        <v>0</v>
      </c>
      <c r="AZ34" s="169">
        <f t="shared" si="57"/>
        <v>0</v>
      </c>
      <c r="BA34" s="155">
        <f t="shared" ca="1" si="61"/>
        <v>0</v>
      </c>
      <c r="BB34" s="156">
        <f t="shared" ca="1" si="62"/>
        <v>0</v>
      </c>
      <c r="BC34" s="154">
        <f t="shared" ca="1" si="63"/>
        <v>1</v>
      </c>
      <c r="BD34" s="155">
        <f t="shared" ca="1" si="64"/>
        <v>0</v>
      </c>
      <c r="BE34" s="155">
        <f t="shared" ca="1" si="65"/>
        <v>0</v>
      </c>
      <c r="BF34" s="155">
        <f t="shared" ca="1" si="66"/>
        <v>0</v>
      </c>
      <c r="BG34" s="155">
        <f t="shared" ca="1" si="67"/>
        <v>0</v>
      </c>
      <c r="BH34" s="156">
        <f t="shared" ca="1" si="68"/>
        <v>0</v>
      </c>
    </row>
    <row r="35" spans="1:60" x14ac:dyDescent="0.2">
      <c r="A35" s="189">
        <v>2018</v>
      </c>
      <c r="B35" s="667">
        <f t="shared" si="69"/>
        <v>138005</v>
      </c>
      <c r="C35" s="668">
        <f t="shared" si="69"/>
        <v>1000000</v>
      </c>
      <c r="D35" s="668">
        <f t="shared" si="69"/>
        <v>1000000</v>
      </c>
      <c r="E35" s="668">
        <f t="shared" si="69"/>
        <v>1000000</v>
      </c>
      <c r="F35" s="668">
        <f t="shared" si="69"/>
        <v>1000000</v>
      </c>
      <c r="G35" s="669">
        <f t="shared" si="69"/>
        <v>1000000</v>
      </c>
      <c r="H35" s="826">
        <f t="shared" si="70"/>
        <v>1</v>
      </c>
      <c r="I35" s="827">
        <f t="shared" si="70"/>
        <v>1</v>
      </c>
      <c r="J35" s="827">
        <f t="shared" si="70"/>
        <v>1</v>
      </c>
      <c r="K35" s="827">
        <f t="shared" si="70"/>
        <v>1</v>
      </c>
      <c r="L35" s="827">
        <f t="shared" si="70"/>
        <v>1</v>
      </c>
      <c r="M35" s="828">
        <f t="shared" si="70"/>
        <v>1</v>
      </c>
      <c r="N35" s="161">
        <f t="shared" si="28"/>
        <v>9186.3470727378353</v>
      </c>
      <c r="O35" s="162">
        <f t="shared" si="29"/>
        <v>57411.609593215391</v>
      </c>
      <c r="P35" s="162">
        <f t="shared" si="30"/>
        <v>57411.609593215391</v>
      </c>
      <c r="Q35" s="162">
        <f t="shared" si="31"/>
        <v>169829.87888097219</v>
      </c>
      <c r="R35" s="162">
        <f t="shared" si="32"/>
        <v>199590.59521448356</v>
      </c>
      <c r="S35" s="164">
        <f t="shared" si="33"/>
        <v>57411.609593215391</v>
      </c>
      <c r="T35" s="161">
        <f t="shared" si="34"/>
        <v>-48225.262520477554</v>
      </c>
      <c r="U35" s="162">
        <f t="shared" si="35"/>
        <v>-48225.262520477554</v>
      </c>
      <c r="V35" s="162">
        <f t="shared" si="36"/>
        <v>-160643.53180823434</v>
      </c>
      <c r="W35" s="162">
        <f t="shared" si="37"/>
        <v>-190404.24814174572</v>
      </c>
      <c r="X35" s="164">
        <f t="shared" si="38"/>
        <v>-48225.262520477554</v>
      </c>
      <c r="Y35" s="165">
        <f ca="1">IF(AND(Y$22=TRUE,INDEX(CDRANGE_CLS2,MATCH($A35,$A$24:$A$67,0),MATCH(Y$20,$B$20:$G$20,0))&lt;$D$6/OPDAYS_Cls2),86,payback(C35,T35,disc_rate/12,85))</f>
        <v>86</v>
      </c>
      <c r="Z35" s="166">
        <f ca="1">IF(AND(Z$22=TRUE,INDEX(CDRANGE_CLS2,MATCH($A35,$A$24:$A$67,0),MATCH(Z$20,$B$20:$G$20,0))&lt;$D$6/OPDAYS_Cls2),86,payback(D35,U35,disc_rate/12,85))</f>
        <v>86</v>
      </c>
      <c r="AA35" s="166">
        <f>IF(AND(AA$22=TRUE,INDEX(CDRANGE_CLS2,MATCH($A35,$A$24:$A$67,0),MATCH(AA$20,$B$20:$G$20,0))&lt;$D$6/OPDAYS_Cls2),86,payback(E35,V35,disc_rate/12,85))</f>
        <v>86</v>
      </c>
      <c r="AB35" s="166">
        <f ca="1">IF(AND(AB$22=TRUE,INDEX(CDRANGE_CLS2,MATCH($A35,$A$24:$A$67,0),MATCH(AB$20,$B$20:$G$20,0))&lt;$D$6/OPDAYS_Cls2),86,payback(F35,W35,disc_rate/12,85))</f>
        <v>86</v>
      </c>
      <c r="AC35" s="167">
        <f ca="1">IF(AND(AC$22=TRUE,INDEX(CDRANGE_CLS2,MATCH($A35,$A$24:$A$67,0),MATCH(AC$20,$B$20:$G$20,0))&lt;$D$6/OPDAYS_Cls2),86,payback(G35,X35,disc_rate/12,85))</f>
        <v>86</v>
      </c>
      <c r="AD35" s="168">
        <f t="shared" si="39"/>
        <v>0</v>
      </c>
      <c r="AE35" s="169">
        <f t="shared" si="40"/>
        <v>0</v>
      </c>
      <c r="AF35" s="169">
        <f t="shared" si="41"/>
        <v>0</v>
      </c>
      <c r="AG35" s="169">
        <f t="shared" si="42"/>
        <v>0</v>
      </c>
      <c r="AH35" s="170">
        <f t="shared" si="43"/>
        <v>0</v>
      </c>
      <c r="AI35" s="171">
        <f t="shared" si="44"/>
        <v>0</v>
      </c>
      <c r="AJ35" s="172">
        <f t="shared" si="45"/>
        <v>0</v>
      </c>
      <c r="AK35" s="172">
        <f t="shared" si="46"/>
        <v>0</v>
      </c>
      <c r="AL35" s="172">
        <f t="shared" si="47"/>
        <v>0</v>
      </c>
      <c r="AM35" s="173">
        <f t="shared" si="48"/>
        <v>0</v>
      </c>
      <c r="AN35" s="171">
        <f t="shared" si="60"/>
        <v>0</v>
      </c>
      <c r="AO35" s="172">
        <f t="shared" si="49"/>
        <v>0</v>
      </c>
      <c r="AP35" s="172">
        <f t="shared" si="49"/>
        <v>0</v>
      </c>
      <c r="AQ35" s="172">
        <f t="shared" si="49"/>
        <v>0</v>
      </c>
      <c r="AR35" s="445">
        <f t="shared" si="49"/>
        <v>0</v>
      </c>
      <c r="AS35" s="154">
        <f t="shared" ca="1" si="50"/>
        <v>0</v>
      </c>
      <c r="AT35" s="155">
        <f t="shared" ca="1" si="51"/>
        <v>0</v>
      </c>
      <c r="AU35" s="155">
        <f t="shared" si="52"/>
        <v>0</v>
      </c>
      <c r="AV35" s="155">
        <f t="shared" ca="1" si="53"/>
        <v>0</v>
      </c>
      <c r="AW35" s="156">
        <f t="shared" ca="1" si="54"/>
        <v>0</v>
      </c>
      <c r="AX35" s="168">
        <f t="shared" ca="1" si="55"/>
        <v>0</v>
      </c>
      <c r="AY35" s="169">
        <f t="shared" ca="1" si="56"/>
        <v>0</v>
      </c>
      <c r="AZ35" s="169">
        <f t="shared" si="57"/>
        <v>0</v>
      </c>
      <c r="BA35" s="155">
        <f t="shared" ca="1" si="61"/>
        <v>0</v>
      </c>
      <c r="BB35" s="156">
        <f t="shared" ca="1" si="62"/>
        <v>0</v>
      </c>
      <c r="BC35" s="154">
        <f t="shared" ca="1" si="63"/>
        <v>1</v>
      </c>
      <c r="BD35" s="155">
        <f t="shared" ca="1" si="64"/>
        <v>0</v>
      </c>
      <c r="BE35" s="155">
        <f t="shared" ca="1" si="65"/>
        <v>0</v>
      </c>
      <c r="BF35" s="155">
        <f t="shared" ca="1" si="66"/>
        <v>0</v>
      </c>
      <c r="BG35" s="155">
        <f t="shared" ca="1" si="67"/>
        <v>0</v>
      </c>
      <c r="BH35" s="156">
        <f t="shared" ca="1" si="68"/>
        <v>0</v>
      </c>
    </row>
    <row r="36" spans="1:60" x14ac:dyDescent="0.2">
      <c r="A36" s="189">
        <v>2019</v>
      </c>
      <c r="B36" s="667">
        <f t="shared" si="69"/>
        <v>138005</v>
      </c>
      <c r="C36" s="668">
        <f t="shared" si="69"/>
        <v>1000000</v>
      </c>
      <c r="D36" s="668">
        <f t="shared" si="69"/>
        <v>1000000</v>
      </c>
      <c r="E36" s="668">
        <f t="shared" si="69"/>
        <v>1000000</v>
      </c>
      <c r="F36" s="668">
        <f t="shared" si="69"/>
        <v>1000000</v>
      </c>
      <c r="G36" s="669">
        <f t="shared" si="69"/>
        <v>1000000</v>
      </c>
      <c r="H36" s="826">
        <f t="shared" si="70"/>
        <v>1</v>
      </c>
      <c r="I36" s="827">
        <f t="shared" si="70"/>
        <v>1</v>
      </c>
      <c r="J36" s="827">
        <f t="shared" si="70"/>
        <v>1</v>
      </c>
      <c r="K36" s="827">
        <f t="shared" si="70"/>
        <v>1</v>
      </c>
      <c r="L36" s="827">
        <f t="shared" si="70"/>
        <v>1</v>
      </c>
      <c r="M36" s="828">
        <f t="shared" si="70"/>
        <v>1</v>
      </c>
      <c r="N36" s="161">
        <f t="shared" si="28"/>
        <v>8967.9027611764104</v>
      </c>
      <c r="O36" s="162">
        <f t="shared" si="29"/>
        <v>56403.689171752871</v>
      </c>
      <c r="P36" s="162">
        <f t="shared" si="30"/>
        <v>56403.689171752871</v>
      </c>
      <c r="Q36" s="162">
        <f t="shared" si="31"/>
        <v>169651.95466984273</v>
      </c>
      <c r="R36" s="162">
        <f t="shared" si="32"/>
        <v>190086.28115665101</v>
      </c>
      <c r="S36" s="164">
        <f t="shared" si="33"/>
        <v>56403.689171752871</v>
      </c>
      <c r="T36" s="161">
        <f t="shared" si="34"/>
        <v>-47435.78641057646</v>
      </c>
      <c r="U36" s="162">
        <f t="shared" si="35"/>
        <v>-47435.78641057646</v>
      </c>
      <c r="V36" s="162">
        <f t="shared" si="36"/>
        <v>-160684.05190866633</v>
      </c>
      <c r="W36" s="162">
        <f t="shared" si="37"/>
        <v>-181118.3783954746</v>
      </c>
      <c r="X36" s="164">
        <f t="shared" si="38"/>
        <v>-47435.78641057646</v>
      </c>
      <c r="Y36" s="165">
        <f ca="1">IF(AND(Y$22=TRUE,INDEX(CDRANGE_CLS2,MATCH($A36,$A$24:$A$67,0),MATCH(Y$20,$B$20:$G$20,0))&lt;$D$6/OPDAYS_Cls2),86,payback(C36,T36,disc_rate/12,85))</f>
        <v>86</v>
      </c>
      <c r="Z36" s="166">
        <f ca="1">IF(AND(Z$22=TRUE,INDEX(CDRANGE_CLS2,MATCH($A36,$A$24:$A$67,0),MATCH(Z$20,$B$20:$G$20,0))&lt;$D$6/OPDAYS_Cls2),86,payback(D36,U36,disc_rate/12,85))</f>
        <v>86</v>
      </c>
      <c r="AA36" s="166">
        <f>IF(AND(AA$22=TRUE,INDEX(CDRANGE_CLS2,MATCH($A36,$A$24:$A$67,0),MATCH(AA$20,$B$20:$G$20,0))&lt;$D$6/OPDAYS_Cls2),86,payback(E36,V36,disc_rate/12,85))</f>
        <v>86</v>
      </c>
      <c r="AB36" s="166">
        <f ca="1">IF(AND(AB$22=TRUE,INDEX(CDRANGE_CLS2,MATCH($A36,$A$24:$A$67,0),MATCH(AB$20,$B$20:$G$20,0))&lt;$D$6/OPDAYS_Cls2),86,payback(F36,W36,disc_rate/12,85))</f>
        <v>86</v>
      </c>
      <c r="AC36" s="167">
        <f ca="1">IF(AND(AC$22=TRUE,INDEX(CDRANGE_CLS2,MATCH($A36,$A$24:$A$67,0),MATCH(AC$20,$B$20:$G$20,0))&lt;$D$6/OPDAYS_Cls2),86,payback(G36,X36,disc_rate/12,85))</f>
        <v>86</v>
      </c>
      <c r="AD36" s="168">
        <f t="shared" si="39"/>
        <v>0</v>
      </c>
      <c r="AE36" s="169">
        <f t="shared" si="40"/>
        <v>0</v>
      </c>
      <c r="AF36" s="169">
        <f t="shared" si="41"/>
        <v>0</v>
      </c>
      <c r="AG36" s="169">
        <f t="shared" si="42"/>
        <v>0</v>
      </c>
      <c r="AH36" s="170">
        <f t="shared" si="43"/>
        <v>0</v>
      </c>
      <c r="AI36" s="171">
        <f t="shared" si="44"/>
        <v>0</v>
      </c>
      <c r="AJ36" s="172">
        <f t="shared" si="45"/>
        <v>0</v>
      </c>
      <c r="AK36" s="172">
        <f t="shared" si="46"/>
        <v>0</v>
      </c>
      <c r="AL36" s="172">
        <f t="shared" si="47"/>
        <v>0</v>
      </c>
      <c r="AM36" s="173">
        <f t="shared" si="48"/>
        <v>0</v>
      </c>
      <c r="AN36" s="171">
        <f t="shared" si="60"/>
        <v>0</v>
      </c>
      <c r="AO36" s="172">
        <f t="shared" si="49"/>
        <v>0</v>
      </c>
      <c r="AP36" s="172">
        <f t="shared" si="49"/>
        <v>0</v>
      </c>
      <c r="AQ36" s="172">
        <f t="shared" si="49"/>
        <v>0</v>
      </c>
      <c r="AR36" s="445">
        <f t="shared" si="49"/>
        <v>0</v>
      </c>
      <c r="AS36" s="154">
        <f t="shared" ca="1" si="50"/>
        <v>0</v>
      </c>
      <c r="AT36" s="155">
        <f t="shared" ca="1" si="51"/>
        <v>0</v>
      </c>
      <c r="AU36" s="155">
        <f t="shared" si="52"/>
        <v>0</v>
      </c>
      <c r="AV36" s="155">
        <f t="shared" ca="1" si="53"/>
        <v>0</v>
      </c>
      <c r="AW36" s="156">
        <f t="shared" ca="1" si="54"/>
        <v>0</v>
      </c>
      <c r="AX36" s="168">
        <f t="shared" ca="1" si="55"/>
        <v>0</v>
      </c>
      <c r="AY36" s="169">
        <f t="shared" ca="1" si="56"/>
        <v>0</v>
      </c>
      <c r="AZ36" s="169">
        <f t="shared" si="57"/>
        <v>0</v>
      </c>
      <c r="BA36" s="155">
        <f t="shared" ca="1" si="61"/>
        <v>0</v>
      </c>
      <c r="BB36" s="156">
        <f t="shared" ca="1" si="62"/>
        <v>0</v>
      </c>
      <c r="BC36" s="154">
        <f t="shared" ca="1" si="63"/>
        <v>1</v>
      </c>
      <c r="BD36" s="155">
        <f t="shared" ca="1" si="64"/>
        <v>0</v>
      </c>
      <c r="BE36" s="155">
        <f t="shared" ca="1" si="65"/>
        <v>0</v>
      </c>
      <c r="BF36" s="155">
        <f t="shared" ca="1" si="66"/>
        <v>0</v>
      </c>
      <c r="BG36" s="155">
        <f t="shared" ca="1" si="67"/>
        <v>0</v>
      </c>
      <c r="BH36" s="156">
        <f t="shared" ca="1" si="68"/>
        <v>0</v>
      </c>
    </row>
    <row r="37" spans="1:60" ht="13.5" thickBot="1" x14ac:dyDescent="0.25">
      <c r="A37" s="174">
        <v>2020</v>
      </c>
      <c r="B37" s="661">
        <f t="shared" si="69"/>
        <v>138005</v>
      </c>
      <c r="C37" s="662">
        <f t="shared" si="69"/>
        <v>1000000</v>
      </c>
      <c r="D37" s="662">
        <f t="shared" si="69"/>
        <v>1000000</v>
      </c>
      <c r="E37" s="662">
        <f t="shared" si="69"/>
        <v>1000000</v>
      </c>
      <c r="F37" s="662">
        <f t="shared" si="69"/>
        <v>1000000</v>
      </c>
      <c r="G37" s="663">
        <f t="shared" si="69"/>
        <v>1000000</v>
      </c>
      <c r="H37" s="820">
        <f t="shared" si="70"/>
        <v>1</v>
      </c>
      <c r="I37" s="821">
        <f t="shared" si="70"/>
        <v>1</v>
      </c>
      <c r="J37" s="821">
        <f t="shared" si="70"/>
        <v>1</v>
      </c>
      <c r="K37" s="821">
        <f t="shared" si="70"/>
        <v>1</v>
      </c>
      <c r="L37" s="821">
        <f t="shared" si="70"/>
        <v>1</v>
      </c>
      <c r="M37" s="822">
        <f t="shared" si="70"/>
        <v>1</v>
      </c>
      <c r="N37" s="175">
        <f t="shared" si="28"/>
        <v>8582.673334836616</v>
      </c>
      <c r="O37" s="176">
        <f t="shared" si="29"/>
        <v>54447.453948959454</v>
      </c>
      <c r="P37" s="176">
        <f t="shared" si="30"/>
        <v>54447.453948959454</v>
      </c>
      <c r="Q37" s="176">
        <f t="shared" si="31"/>
        <v>173020.17314701612</v>
      </c>
      <c r="R37" s="176">
        <f t="shared" si="32"/>
        <v>180581.96709881842</v>
      </c>
      <c r="S37" s="178">
        <f t="shared" si="33"/>
        <v>54447.453948959454</v>
      </c>
      <c r="T37" s="175">
        <f t="shared" si="34"/>
        <v>-45864.780614122836</v>
      </c>
      <c r="U37" s="176">
        <f t="shared" si="35"/>
        <v>-45864.780614122836</v>
      </c>
      <c r="V37" s="176">
        <f t="shared" si="36"/>
        <v>-164437.49981217951</v>
      </c>
      <c r="W37" s="176">
        <f t="shared" si="37"/>
        <v>-171999.29376398181</v>
      </c>
      <c r="X37" s="178">
        <f t="shared" si="38"/>
        <v>-45864.780614122836</v>
      </c>
      <c r="Y37" s="179">
        <f ca="1">IF(AND(Y$22=TRUE,INDEX(CDRANGE_CLS2,MATCH($A37,$A$24:$A$67,0),MATCH(Y$20,$B$20:$G$20,0))&lt;$D$6/OPDAYS_Cls2),86,payback(C37,T37,disc_rate/12,85))</f>
        <v>86</v>
      </c>
      <c r="Z37" s="180">
        <f ca="1">IF(AND(Z$22=TRUE,INDEX(CDRANGE_CLS2,MATCH($A37,$A$24:$A$67,0),MATCH(Z$20,$B$20:$G$20,0))&lt;$D$6/OPDAYS_Cls2),86,payback(D37,U37,disc_rate/12,85))</f>
        <v>86</v>
      </c>
      <c r="AA37" s="180">
        <f>IF(AND(AA$22=TRUE,INDEX(CDRANGE_CLS2,MATCH($A37,$A$24:$A$67,0),MATCH(AA$20,$B$20:$G$20,0))&lt;$D$6/OPDAYS_Cls2),86,payback(E37,V37,disc_rate/12,85))</f>
        <v>86</v>
      </c>
      <c r="AB37" s="180">
        <f ca="1">IF(AND(AB$22=TRUE,INDEX(CDRANGE_CLS2,MATCH($A37,$A$24:$A$67,0),MATCH(AB$20,$B$20:$G$20,0))&lt;$D$6/OPDAYS_Cls2),86,payback(F37,W37,disc_rate/12,85))</f>
        <v>86</v>
      </c>
      <c r="AC37" s="181">
        <f ca="1">IF(AND(AC$22=TRUE,INDEX(CDRANGE_CLS2,MATCH($A37,$A$24:$A$67,0),MATCH(AC$20,$B$20:$G$20,0))&lt;$D$6/OPDAYS_Cls2),86,payback(G37,X37,disc_rate/12,85))</f>
        <v>86</v>
      </c>
      <c r="AD37" s="182">
        <f t="shared" si="39"/>
        <v>0</v>
      </c>
      <c r="AE37" s="183">
        <f t="shared" si="40"/>
        <v>0</v>
      </c>
      <c r="AF37" s="183">
        <f t="shared" si="41"/>
        <v>0</v>
      </c>
      <c r="AG37" s="183">
        <f t="shared" si="42"/>
        <v>0</v>
      </c>
      <c r="AH37" s="184">
        <f t="shared" si="43"/>
        <v>0</v>
      </c>
      <c r="AI37" s="185">
        <f t="shared" si="44"/>
        <v>0</v>
      </c>
      <c r="AJ37" s="186">
        <f t="shared" si="45"/>
        <v>0</v>
      </c>
      <c r="AK37" s="186">
        <f t="shared" si="46"/>
        <v>0</v>
      </c>
      <c r="AL37" s="186">
        <f t="shared" si="47"/>
        <v>0</v>
      </c>
      <c r="AM37" s="187">
        <f t="shared" si="48"/>
        <v>0</v>
      </c>
      <c r="AN37" s="477">
        <f t="shared" si="60"/>
        <v>0</v>
      </c>
      <c r="AO37" s="475">
        <f t="shared" si="49"/>
        <v>0</v>
      </c>
      <c r="AP37" s="475">
        <f t="shared" si="49"/>
        <v>0</v>
      </c>
      <c r="AQ37" s="475">
        <f t="shared" si="49"/>
        <v>0</v>
      </c>
      <c r="AR37" s="476">
        <f t="shared" si="49"/>
        <v>0</v>
      </c>
      <c r="AS37" s="191">
        <f t="shared" ca="1" si="50"/>
        <v>0</v>
      </c>
      <c r="AT37" s="192">
        <f t="shared" ca="1" si="51"/>
        <v>0</v>
      </c>
      <c r="AU37" s="192">
        <f t="shared" si="52"/>
        <v>0</v>
      </c>
      <c r="AV37" s="192">
        <f t="shared" ca="1" si="53"/>
        <v>0</v>
      </c>
      <c r="AW37" s="193">
        <f t="shared" ca="1" si="54"/>
        <v>0</v>
      </c>
      <c r="AX37" s="182">
        <f t="shared" ca="1" si="55"/>
        <v>0</v>
      </c>
      <c r="AY37" s="183">
        <f t="shared" ca="1" si="56"/>
        <v>0</v>
      </c>
      <c r="AZ37" s="183">
        <f t="shared" si="57"/>
        <v>0</v>
      </c>
      <c r="BA37" s="183">
        <f t="shared" ca="1" si="61"/>
        <v>0</v>
      </c>
      <c r="BB37" s="184">
        <f t="shared" ca="1" si="62"/>
        <v>0</v>
      </c>
      <c r="BC37" s="182">
        <f t="shared" ca="1" si="63"/>
        <v>1</v>
      </c>
      <c r="BD37" s="183">
        <f t="shared" ca="1" si="64"/>
        <v>0</v>
      </c>
      <c r="BE37" s="183">
        <f t="shared" ca="1" si="65"/>
        <v>0</v>
      </c>
      <c r="BF37" s="183">
        <f t="shared" ca="1" si="66"/>
        <v>0</v>
      </c>
      <c r="BG37" s="183">
        <f t="shared" ca="1" si="67"/>
        <v>0</v>
      </c>
      <c r="BH37" s="184">
        <f t="shared" ca="1" si="68"/>
        <v>0</v>
      </c>
    </row>
    <row r="38" spans="1:60" x14ac:dyDescent="0.2">
      <c r="A38" s="188">
        <v>2021</v>
      </c>
      <c r="B38" s="664">
        <f t="shared" si="69"/>
        <v>138005</v>
      </c>
      <c r="C38" s="665">
        <f t="shared" si="69"/>
        <v>1</v>
      </c>
      <c r="D38" s="665">
        <f t="shared" si="69"/>
        <v>9699</v>
      </c>
      <c r="E38" s="665">
        <f t="shared" si="69"/>
        <v>450039</v>
      </c>
      <c r="F38" s="665">
        <f t="shared" si="69"/>
        <v>131845</v>
      </c>
      <c r="G38" s="666">
        <f t="shared" si="69"/>
        <v>231623</v>
      </c>
      <c r="H38" s="823">
        <f t="shared" si="70"/>
        <v>1</v>
      </c>
      <c r="I38" s="824">
        <f t="shared" si="70"/>
        <v>1</v>
      </c>
      <c r="J38" s="824">
        <f t="shared" si="70"/>
        <v>1</v>
      </c>
      <c r="K38" s="824">
        <f t="shared" si="70"/>
        <v>1</v>
      </c>
      <c r="L38" s="824">
        <f t="shared" si="70"/>
        <v>1</v>
      </c>
      <c r="M38" s="825">
        <f t="shared" si="70"/>
        <v>0.85279815080370525</v>
      </c>
      <c r="N38" s="1185">
        <f t="shared" si="28"/>
        <v>8622.1224953600959</v>
      </c>
      <c r="O38" s="1186">
        <f t="shared" si="29"/>
        <v>7699.5142411391907</v>
      </c>
      <c r="P38" s="1186">
        <f t="shared" si="30"/>
        <v>7258.6046384882939</v>
      </c>
      <c r="Q38" s="1186">
        <f t="shared" si="31"/>
        <v>11569.34673979609</v>
      </c>
      <c r="R38" s="1186">
        <f t="shared" si="32"/>
        <v>18009.404302345607</v>
      </c>
      <c r="S38" s="1187">
        <f t="shared" si="33"/>
        <v>8443.2195871664171</v>
      </c>
      <c r="T38" s="1185">
        <f t="shared" si="34"/>
        <v>922.60825422090511</v>
      </c>
      <c r="U38" s="1186">
        <f t="shared" si="35"/>
        <v>1363.517856871802</v>
      </c>
      <c r="V38" s="1186">
        <f t="shared" si="36"/>
        <v>-2947.2242444359945</v>
      </c>
      <c r="W38" s="1186">
        <f t="shared" si="37"/>
        <v>-9387.2818069855111</v>
      </c>
      <c r="X38" s="150">
        <f t="shared" si="38"/>
        <v>178.90290819367874</v>
      </c>
      <c r="Y38" s="151">
        <f ca="1">IF(AND(Y$22=TRUE,INDEX(CDRANGE_CLS2,MATCH($A38,$A$24:$A$67,0),MATCH(Y$20,$B$20:$G$20,0))&lt;$D$6/OPDAYS_Cls2),86,payback(C38,T38,disc_rate/12,85))</f>
        <v>1</v>
      </c>
      <c r="Z38" s="152">
        <f ca="1">IF(AND(Z$22=TRUE,INDEX(CDRANGE_CLS2,MATCH($A38,$A$24:$A$67,0),MATCH(Z$20,$B$20:$G$20,0))&lt;$D$6/OPDAYS_Cls2),86,payback(D38,U38,disc_rate/12,85))</f>
        <v>8</v>
      </c>
      <c r="AA38" s="152">
        <f>IF(AND(AA$22=TRUE,INDEX(CDRANGE_CLS2,MATCH($A38,$A$24:$A$67,0),MATCH(AA$20,$B$20:$G$20,0))&lt;$D$6/OPDAYS_Cls2),86,payback(E38,V38,disc_rate/12,85))</f>
        <v>86</v>
      </c>
      <c r="AB38" s="152">
        <f ca="1">IF(AND(AB$22=TRUE,INDEX(CDRANGE_CLS2,MATCH($A38,$A$24:$A$67,0),MATCH(AB$20,$B$20:$G$20,0))&lt;$D$6/OPDAYS_Cls2),86,payback(F38,W38,disc_rate/12,85))</f>
        <v>86</v>
      </c>
      <c r="AC38" s="153">
        <f ca="1">IF(AND(AC$22=TRUE,INDEX(CDRANGE_CLS2,MATCH($A38,$A$24:$A$67,0),MATCH(AC$20,$B$20:$G$20,0))&lt;$D$6/OPDAYS_Cls2),86,payback(G38,X38,disc_rate/12,85))</f>
        <v>86</v>
      </c>
      <c r="AD38" s="154">
        <f t="shared" si="39"/>
        <v>0</v>
      </c>
      <c r="AE38" s="155">
        <f t="shared" si="40"/>
        <v>0</v>
      </c>
      <c r="AF38" s="155">
        <f t="shared" si="41"/>
        <v>0</v>
      </c>
      <c r="AG38" s="155">
        <f t="shared" si="42"/>
        <v>0</v>
      </c>
      <c r="AH38" s="156">
        <f t="shared" si="43"/>
        <v>0</v>
      </c>
      <c r="AI38" s="157">
        <f t="shared" si="44"/>
        <v>0</v>
      </c>
      <c r="AJ38" s="158">
        <f t="shared" si="45"/>
        <v>0</v>
      </c>
      <c r="AK38" s="158">
        <f t="shared" si="46"/>
        <v>0</v>
      </c>
      <c r="AL38" s="158">
        <f t="shared" si="47"/>
        <v>0</v>
      </c>
      <c r="AM38" s="159">
        <f t="shared" si="48"/>
        <v>0</v>
      </c>
      <c r="AN38" s="490">
        <f t="shared" si="60"/>
        <v>0.99999999985414956</v>
      </c>
      <c r="AO38" s="488">
        <f t="shared" si="49"/>
        <v>0.98637345142401567</v>
      </c>
      <c r="AP38" s="488">
        <f t="shared" si="49"/>
        <v>1.482147737874584E-13</v>
      </c>
      <c r="AQ38" s="488">
        <f t="shared" si="49"/>
        <v>7.9235247986451651E-2</v>
      </c>
      <c r="AR38" s="489">
        <f t="shared" si="49"/>
        <v>3.9971310015018968E-4</v>
      </c>
      <c r="AS38" s="154">
        <f t="shared" ca="1" si="50"/>
        <v>0</v>
      </c>
      <c r="AT38" s="155">
        <f t="shared" ca="1" si="51"/>
        <v>0</v>
      </c>
      <c r="AU38" s="155">
        <f t="shared" si="52"/>
        <v>0</v>
      </c>
      <c r="AV38" s="155">
        <f t="shared" ca="1" si="53"/>
        <v>0</v>
      </c>
      <c r="AW38" s="156">
        <f t="shared" ca="1" si="54"/>
        <v>0</v>
      </c>
      <c r="AX38" s="154">
        <f t="shared" ca="1" si="55"/>
        <v>0</v>
      </c>
      <c r="AY38" s="155">
        <f t="shared" ca="1" si="56"/>
        <v>0</v>
      </c>
      <c r="AZ38" s="155">
        <f t="shared" si="57"/>
        <v>0</v>
      </c>
      <c r="BA38" s="155">
        <f t="shared" ca="1" si="61"/>
        <v>0</v>
      </c>
      <c r="BB38" s="156">
        <f t="shared" ca="1" si="62"/>
        <v>0</v>
      </c>
      <c r="BC38" s="154">
        <f t="shared" ca="1" si="63"/>
        <v>1</v>
      </c>
      <c r="BD38" s="155">
        <f t="shared" ca="1" si="64"/>
        <v>0</v>
      </c>
      <c r="BE38" s="155">
        <f t="shared" ca="1" si="65"/>
        <v>0</v>
      </c>
      <c r="BF38" s="155">
        <f t="shared" ca="1" si="66"/>
        <v>0</v>
      </c>
      <c r="BG38" s="155">
        <f t="shared" ca="1" si="67"/>
        <v>0</v>
      </c>
      <c r="BH38" s="156">
        <f t="shared" ca="1" si="68"/>
        <v>0</v>
      </c>
    </row>
    <row r="39" spans="1:60" x14ac:dyDescent="0.2">
      <c r="A39" s="189">
        <v>2022</v>
      </c>
      <c r="B39" s="667">
        <f t="shared" si="69"/>
        <v>138005</v>
      </c>
      <c r="C39" s="668">
        <f t="shared" si="69"/>
        <v>1227.05</v>
      </c>
      <c r="D39" s="668">
        <f t="shared" si="69"/>
        <v>10645.7</v>
      </c>
      <c r="E39" s="668">
        <f t="shared" si="69"/>
        <v>429478.42</v>
      </c>
      <c r="F39" s="668">
        <f t="shared" si="69"/>
        <v>126515.16</v>
      </c>
      <c r="G39" s="669">
        <f t="shared" si="69"/>
        <v>220353.83</v>
      </c>
      <c r="H39" s="826">
        <f t="shared" si="70"/>
        <v>1</v>
      </c>
      <c r="I39" s="827">
        <f t="shared" si="70"/>
        <v>1</v>
      </c>
      <c r="J39" s="827">
        <f t="shared" si="70"/>
        <v>1</v>
      </c>
      <c r="K39" s="827">
        <f t="shared" si="70"/>
        <v>1</v>
      </c>
      <c r="L39" s="827">
        <f t="shared" si="70"/>
        <v>1</v>
      </c>
      <c r="M39" s="828">
        <f t="shared" si="70"/>
        <v>0.85481936925262447</v>
      </c>
      <c r="N39" s="1188">
        <f t="shared" si="28"/>
        <v>8646.8639369210032</v>
      </c>
      <c r="O39" s="130">
        <f t="shared" si="29"/>
        <v>7697.9239591189653</v>
      </c>
      <c r="P39" s="130">
        <f t="shared" si="30"/>
        <v>7253.6398590747485</v>
      </c>
      <c r="Q39" s="130">
        <f t="shared" si="31"/>
        <v>11593.875281967454</v>
      </c>
      <c r="R39" s="130">
        <f t="shared" si="32"/>
        <v>16809.590298593786</v>
      </c>
      <c r="S39" s="1189">
        <f t="shared" si="33"/>
        <v>8399.6071963176601</v>
      </c>
      <c r="T39" s="1188">
        <f t="shared" si="34"/>
        <v>948.9399778020379</v>
      </c>
      <c r="U39" s="130">
        <f t="shared" si="35"/>
        <v>1393.2240778462547</v>
      </c>
      <c r="V39" s="130">
        <f t="shared" si="36"/>
        <v>-2947.0113450464505</v>
      </c>
      <c r="W39" s="130">
        <f t="shared" si="37"/>
        <v>-8162.7263616727832</v>
      </c>
      <c r="X39" s="164">
        <f t="shared" si="38"/>
        <v>247.25674060334313</v>
      </c>
      <c r="Y39" s="165">
        <f ca="1">IF(AND(Y$22=TRUE,INDEX(CDRANGE_CLS2,MATCH($A39,$A$24:$A$67,0),MATCH(Y$20,$B$20:$G$20,0))&lt;$D$6/OPDAYS_Cls2),86,payback(C39,T39,disc_rate/12,85))</f>
        <v>2</v>
      </c>
      <c r="Z39" s="166">
        <f ca="1">IF(AND(Z$22=TRUE,INDEX(CDRANGE_CLS2,MATCH($A39,$A$24:$A$67,0),MATCH(Z$20,$B$20:$G$20,0))&lt;$D$6/OPDAYS_Cls2),86,payback(D39,U39,disc_rate/12,85))</f>
        <v>8</v>
      </c>
      <c r="AA39" s="166">
        <f>IF(AND(AA$22=TRUE,INDEX(CDRANGE_CLS2,MATCH($A39,$A$24:$A$67,0),MATCH(AA$20,$B$20:$G$20,0))&lt;$D$6/OPDAYS_Cls2),86,payback(E39,V39,disc_rate/12,85))</f>
        <v>86</v>
      </c>
      <c r="AB39" s="166">
        <f ca="1">IF(AND(AB$22=TRUE,INDEX(CDRANGE_CLS2,MATCH($A39,$A$24:$A$67,0),MATCH(AB$20,$B$20:$G$20,0))&lt;$D$6/OPDAYS_Cls2),86,payback(F39,W39,disc_rate/12,85))</f>
        <v>86</v>
      </c>
      <c r="AC39" s="167">
        <f ca="1">IF(AND(AC$22=TRUE,INDEX(CDRANGE_CLS2,MATCH($A39,$A$24:$A$67,0),MATCH(AC$20,$B$20:$G$20,0))&lt;$D$6/OPDAYS_Cls2),86,payback(G39,X39,disc_rate/12,85))</f>
        <v>86</v>
      </c>
      <c r="AD39" s="168">
        <f t="shared" si="39"/>
        <v>0</v>
      </c>
      <c r="AE39" s="169">
        <f t="shared" si="40"/>
        <v>0</v>
      </c>
      <c r="AF39" s="169">
        <f t="shared" si="41"/>
        <v>0</v>
      </c>
      <c r="AG39" s="169">
        <f t="shared" si="42"/>
        <v>0</v>
      </c>
      <c r="AH39" s="170">
        <f t="shared" si="43"/>
        <v>0</v>
      </c>
      <c r="AI39" s="171">
        <f t="shared" si="44"/>
        <v>0</v>
      </c>
      <c r="AJ39" s="172">
        <f t="shared" si="45"/>
        <v>0</v>
      </c>
      <c r="AK39" s="172">
        <f t="shared" si="46"/>
        <v>0</v>
      </c>
      <c r="AL39" s="172">
        <f t="shared" si="47"/>
        <v>0</v>
      </c>
      <c r="AM39" s="173">
        <f t="shared" si="48"/>
        <v>0</v>
      </c>
      <c r="AN39" s="171">
        <f t="shared" si="60"/>
        <v>0.99978042409001078</v>
      </c>
      <c r="AO39" s="172">
        <f t="shared" si="49"/>
        <v>0.98360649036786563</v>
      </c>
      <c r="AP39" s="172">
        <f t="shared" si="49"/>
        <v>2.0722312754628547E-12</v>
      </c>
      <c r="AQ39" s="172">
        <f t="shared" si="49"/>
        <v>9.6859359996913197E-2</v>
      </c>
      <c r="AR39" s="445">
        <f t="shared" si="49"/>
        <v>8.4018525451046155E-4</v>
      </c>
      <c r="AS39" s="154">
        <f t="shared" ca="1" si="50"/>
        <v>0</v>
      </c>
      <c r="AT39" s="155">
        <f t="shared" ca="1" si="51"/>
        <v>0</v>
      </c>
      <c r="AU39" s="155">
        <f t="shared" si="52"/>
        <v>0</v>
      </c>
      <c r="AV39" s="155">
        <f t="shared" ca="1" si="53"/>
        <v>0</v>
      </c>
      <c r="AW39" s="156">
        <f t="shared" ca="1" si="54"/>
        <v>0</v>
      </c>
      <c r="AX39" s="168">
        <f t="shared" ca="1" si="55"/>
        <v>0</v>
      </c>
      <c r="AY39" s="169">
        <f t="shared" ca="1" si="56"/>
        <v>0</v>
      </c>
      <c r="AZ39" s="169">
        <f t="shared" si="57"/>
        <v>0</v>
      </c>
      <c r="BA39" s="155">
        <f t="shared" ca="1" si="61"/>
        <v>0</v>
      </c>
      <c r="BB39" s="156">
        <f t="shared" ca="1" si="62"/>
        <v>0</v>
      </c>
      <c r="BC39" s="154">
        <f t="shared" ca="1" si="63"/>
        <v>1</v>
      </c>
      <c r="BD39" s="155">
        <f t="shared" ca="1" si="64"/>
        <v>0</v>
      </c>
      <c r="BE39" s="155">
        <f t="shared" ca="1" si="65"/>
        <v>0</v>
      </c>
      <c r="BF39" s="155">
        <f t="shared" ca="1" si="66"/>
        <v>0</v>
      </c>
      <c r="BG39" s="155">
        <f t="shared" ca="1" si="67"/>
        <v>0</v>
      </c>
      <c r="BH39" s="156">
        <f t="shared" ca="1" si="68"/>
        <v>0</v>
      </c>
    </row>
    <row r="40" spans="1:60" x14ac:dyDescent="0.2">
      <c r="A40" s="189">
        <v>2023</v>
      </c>
      <c r="B40" s="667">
        <f t="shared" si="69"/>
        <v>138005</v>
      </c>
      <c r="C40" s="668">
        <f t="shared" si="69"/>
        <v>2618.7600000000002</v>
      </c>
      <c r="D40" s="668">
        <f t="shared" si="69"/>
        <v>11719.44</v>
      </c>
      <c r="E40" s="668">
        <f t="shared" si="69"/>
        <v>406158.88</v>
      </c>
      <c r="F40" s="668">
        <f t="shared" si="69"/>
        <v>120470.13</v>
      </c>
      <c r="G40" s="669">
        <f t="shared" si="69"/>
        <v>207572.49</v>
      </c>
      <c r="H40" s="826">
        <f t="shared" si="70"/>
        <v>1</v>
      </c>
      <c r="I40" s="827">
        <f t="shared" si="70"/>
        <v>1</v>
      </c>
      <c r="J40" s="827">
        <f t="shared" si="70"/>
        <v>1</v>
      </c>
      <c r="K40" s="827">
        <f t="shared" si="70"/>
        <v>1</v>
      </c>
      <c r="L40" s="827">
        <f t="shared" si="70"/>
        <v>1</v>
      </c>
      <c r="M40" s="828">
        <f t="shared" si="70"/>
        <v>0.85711180834694367</v>
      </c>
      <c r="N40" s="1188">
        <f t="shared" si="28"/>
        <v>8568.099152241417</v>
      </c>
      <c r="O40" s="130">
        <f t="shared" si="29"/>
        <v>7607.2690701799302</v>
      </c>
      <c r="P40" s="130">
        <f t="shared" si="30"/>
        <v>7164.4638672385499</v>
      </c>
      <c r="Q40" s="130">
        <f t="shared" si="31"/>
        <v>11653.091188418386</v>
      </c>
      <c r="R40" s="130">
        <f t="shared" si="32"/>
        <v>15613.303125418992</v>
      </c>
      <c r="S40" s="1189">
        <f t="shared" si="33"/>
        <v>8278.7211611846487</v>
      </c>
      <c r="T40" s="1188">
        <f t="shared" si="34"/>
        <v>960.83008206148679</v>
      </c>
      <c r="U40" s="130">
        <f t="shared" si="35"/>
        <v>1403.635285002867</v>
      </c>
      <c r="V40" s="130">
        <f t="shared" si="36"/>
        <v>-3084.9920361769691</v>
      </c>
      <c r="W40" s="130">
        <f t="shared" si="37"/>
        <v>-7045.2039731775749</v>
      </c>
      <c r="X40" s="164">
        <f t="shared" si="38"/>
        <v>289.37799105676822</v>
      </c>
      <c r="Y40" s="165">
        <f ca="1">IF(AND(Y$22=TRUE,INDEX(CDRANGE_CLS2,MATCH($A40,$A$24:$A$67,0),MATCH(Y$20,$B$20:$G$20,0))&lt;$D$6/OPDAYS_Cls2),86,payback(C40,T40,disc_rate/12,85))</f>
        <v>3</v>
      </c>
      <c r="Z40" s="166">
        <f ca="1">IF(AND(Z$22=TRUE,INDEX(CDRANGE_CLS2,MATCH($A40,$A$24:$A$67,0),MATCH(Z$20,$B$20:$G$20,0))&lt;$D$6/OPDAYS_Cls2),86,payback(D40,U40,disc_rate/12,85))</f>
        <v>9</v>
      </c>
      <c r="AA40" s="166">
        <f>IF(AND(AA$22=TRUE,INDEX(CDRANGE_CLS2,MATCH($A40,$A$24:$A$67,0),MATCH(AA$20,$B$20:$G$20,0))&lt;$D$6/OPDAYS_Cls2),86,payback(E40,V40,disc_rate/12,85))</f>
        <v>86</v>
      </c>
      <c r="AB40" s="166">
        <f ca="1">IF(AND(AB$22=TRUE,INDEX(CDRANGE_CLS2,MATCH($A40,$A$24:$A$67,0),MATCH(AB$20,$B$20:$G$20,0))&lt;$D$6/OPDAYS_Cls2),86,payback(F40,W40,disc_rate/12,85))</f>
        <v>86</v>
      </c>
      <c r="AC40" s="167">
        <f ca="1">IF(AND(AC$22=TRUE,INDEX(CDRANGE_CLS2,MATCH($A40,$A$24:$A$67,0),MATCH(AC$20,$B$20:$G$20,0))&lt;$D$6/OPDAYS_Cls2),86,payback(G40,X40,disc_rate/12,85))</f>
        <v>86</v>
      </c>
      <c r="AD40" s="168">
        <f t="shared" si="39"/>
        <v>0</v>
      </c>
      <c r="AE40" s="169">
        <f t="shared" si="40"/>
        <v>0</v>
      </c>
      <c r="AF40" s="169">
        <f t="shared" si="41"/>
        <v>0</v>
      </c>
      <c r="AG40" s="169">
        <f t="shared" si="42"/>
        <v>0</v>
      </c>
      <c r="AH40" s="170">
        <f t="shared" si="43"/>
        <v>0</v>
      </c>
      <c r="AI40" s="171">
        <f t="shared" si="44"/>
        <v>0</v>
      </c>
      <c r="AJ40" s="172">
        <f t="shared" si="45"/>
        <v>0</v>
      </c>
      <c r="AK40" s="172">
        <f t="shared" si="46"/>
        <v>0</v>
      </c>
      <c r="AL40" s="172">
        <f t="shared" si="47"/>
        <v>0</v>
      </c>
      <c r="AM40" s="173">
        <f t="shared" si="48"/>
        <v>0</v>
      </c>
      <c r="AN40" s="171">
        <f t="shared" si="60"/>
        <v>0.99900027149539816</v>
      </c>
      <c r="AO40" s="172">
        <f t="shared" si="60"/>
        <v>0.98016743111596272</v>
      </c>
      <c r="AP40" s="172">
        <f t="shared" si="60"/>
        <v>3.5544678311794087E-11</v>
      </c>
      <c r="AQ40" s="172">
        <f t="shared" si="60"/>
        <v>0.12042409977439794</v>
      </c>
      <c r="AR40" s="445">
        <f t="shared" si="60"/>
        <v>1.8656176986951989E-3</v>
      </c>
      <c r="AS40" s="154">
        <f t="shared" ca="1" si="50"/>
        <v>0</v>
      </c>
      <c r="AT40" s="155">
        <f t="shared" ca="1" si="51"/>
        <v>0</v>
      </c>
      <c r="AU40" s="155">
        <f t="shared" si="52"/>
        <v>0</v>
      </c>
      <c r="AV40" s="155">
        <f t="shared" ca="1" si="53"/>
        <v>0</v>
      </c>
      <c r="AW40" s="156">
        <f t="shared" ca="1" si="54"/>
        <v>0</v>
      </c>
      <c r="AX40" s="168">
        <f t="shared" ca="1" si="55"/>
        <v>0</v>
      </c>
      <c r="AY40" s="169">
        <f t="shared" ca="1" si="56"/>
        <v>0</v>
      </c>
      <c r="AZ40" s="169">
        <f t="shared" si="57"/>
        <v>0</v>
      </c>
      <c r="BA40" s="155">
        <f t="shared" ca="1" si="61"/>
        <v>0</v>
      </c>
      <c r="BB40" s="156">
        <f t="shared" ca="1" si="62"/>
        <v>0</v>
      </c>
      <c r="BC40" s="154">
        <f t="shared" ca="1" si="63"/>
        <v>1</v>
      </c>
      <c r="BD40" s="155">
        <f t="shared" ca="1" si="64"/>
        <v>0</v>
      </c>
      <c r="BE40" s="155">
        <f t="shared" ca="1" si="65"/>
        <v>0</v>
      </c>
      <c r="BF40" s="155">
        <f t="shared" ca="1" si="66"/>
        <v>0</v>
      </c>
      <c r="BG40" s="155">
        <f t="shared" ca="1" si="67"/>
        <v>0</v>
      </c>
      <c r="BH40" s="156">
        <f t="shared" ca="1" si="68"/>
        <v>0</v>
      </c>
    </row>
    <row r="41" spans="1:60" x14ac:dyDescent="0.2">
      <c r="A41" s="189">
        <v>2024</v>
      </c>
      <c r="B41" s="667">
        <f t="shared" si="69"/>
        <v>138005</v>
      </c>
      <c r="C41" s="668">
        <f t="shared" si="69"/>
        <v>4822.34</v>
      </c>
      <c r="D41" s="668">
        <f t="shared" si="69"/>
        <v>13419.57</v>
      </c>
      <c r="E41" s="668">
        <f t="shared" si="69"/>
        <v>369235.49</v>
      </c>
      <c r="F41" s="668">
        <f t="shared" si="69"/>
        <v>110898.63</v>
      </c>
      <c r="G41" s="669">
        <f t="shared" si="69"/>
        <v>187334.93</v>
      </c>
      <c r="H41" s="826">
        <f t="shared" si="70"/>
        <v>1</v>
      </c>
      <c r="I41" s="827">
        <f t="shared" si="70"/>
        <v>1</v>
      </c>
      <c r="J41" s="827">
        <f t="shared" si="70"/>
        <v>1</v>
      </c>
      <c r="K41" s="827">
        <f t="shared" si="70"/>
        <v>1</v>
      </c>
      <c r="L41" s="827">
        <f t="shared" si="70"/>
        <v>1</v>
      </c>
      <c r="M41" s="828">
        <f t="shared" si="70"/>
        <v>0.86074158171220361</v>
      </c>
      <c r="N41" s="1188">
        <f t="shared" si="28"/>
        <v>8548.8017240847294</v>
      </c>
      <c r="O41" s="130">
        <f t="shared" si="29"/>
        <v>7536.5878739081536</v>
      </c>
      <c r="P41" s="130">
        <f t="shared" si="30"/>
        <v>7092.2745963120205</v>
      </c>
      <c r="Q41" s="130">
        <f t="shared" si="31"/>
        <v>11625.542698135441</v>
      </c>
      <c r="R41" s="130">
        <f t="shared" si="32"/>
        <v>14339.698229228154</v>
      </c>
      <c r="S41" s="1189">
        <f t="shared" si="33"/>
        <v>8137.8011119729745</v>
      </c>
      <c r="T41" s="1188">
        <f t="shared" si="34"/>
        <v>1012.2138501765758</v>
      </c>
      <c r="U41" s="130">
        <f t="shared" si="35"/>
        <v>1456.5271277727088</v>
      </c>
      <c r="V41" s="130">
        <f t="shared" si="36"/>
        <v>-3076.7409740507119</v>
      </c>
      <c r="W41" s="130">
        <f t="shared" si="37"/>
        <v>-5790.8965051434243</v>
      </c>
      <c r="X41" s="164">
        <f t="shared" si="38"/>
        <v>411.00061211175489</v>
      </c>
      <c r="Y41" s="165">
        <f ca="1">IF(AND(Y$22=TRUE,INDEX(CDRANGE_CLS2,MATCH($A41,$A$24:$A$67,0),MATCH(Y$20,$B$20:$G$20,0))&lt;$D$6/OPDAYS_Cls2),86,payback(C41,T41,disc_rate/12,85))</f>
        <v>5</v>
      </c>
      <c r="Z41" s="166">
        <f ca="1">IF(AND(Z$22=TRUE,INDEX(CDRANGE_CLS2,MATCH($A41,$A$24:$A$67,0),MATCH(Z$20,$B$20:$G$20,0))&lt;$D$6/OPDAYS_Cls2),86,payback(D41,U41,disc_rate/12,85))</f>
        <v>10</v>
      </c>
      <c r="AA41" s="166">
        <f>IF(AND(AA$22=TRUE,INDEX(CDRANGE_CLS2,MATCH($A41,$A$24:$A$67,0),MATCH(AA$20,$B$20:$G$20,0))&lt;$D$6/OPDAYS_Cls2),86,payback(E41,V41,disc_rate/12,85))</f>
        <v>86</v>
      </c>
      <c r="AB41" s="166">
        <f ca="1">IF(AND(AB$22=TRUE,INDEX(CDRANGE_CLS2,MATCH($A41,$A$24:$A$67,0),MATCH(AB$20,$B$20:$G$20,0))&lt;$D$6/OPDAYS_Cls2),86,payback(F41,W41,disc_rate/12,85))</f>
        <v>86</v>
      </c>
      <c r="AC41" s="167">
        <f ca="1">IF(AND(AC$22=TRUE,INDEX(CDRANGE_CLS2,MATCH($A41,$A$24:$A$67,0),MATCH(AC$20,$B$20:$G$20,0))&lt;$D$6/OPDAYS_Cls2),86,payback(G41,X41,disc_rate/12,85))</f>
        <v>86</v>
      </c>
      <c r="AD41" s="168">
        <f t="shared" si="39"/>
        <v>0</v>
      </c>
      <c r="AE41" s="169">
        <f t="shared" si="40"/>
        <v>0</v>
      </c>
      <c r="AF41" s="169">
        <f t="shared" si="41"/>
        <v>0</v>
      </c>
      <c r="AG41" s="169">
        <f t="shared" si="42"/>
        <v>0</v>
      </c>
      <c r="AH41" s="170">
        <f t="shared" si="43"/>
        <v>0</v>
      </c>
      <c r="AI41" s="171">
        <f t="shared" si="44"/>
        <v>0</v>
      </c>
      <c r="AJ41" s="172">
        <f t="shared" si="45"/>
        <v>0</v>
      </c>
      <c r="AK41" s="172">
        <f t="shared" si="46"/>
        <v>0</v>
      </c>
      <c r="AL41" s="172">
        <f t="shared" si="47"/>
        <v>0</v>
      </c>
      <c r="AM41" s="173">
        <f t="shared" si="48"/>
        <v>0</v>
      </c>
      <c r="AN41" s="171">
        <f t="shared" si="60"/>
        <v>0.99661399800058004</v>
      </c>
      <c r="AO41" s="172">
        <f t="shared" si="60"/>
        <v>0.97407647427474908</v>
      </c>
      <c r="AP41" s="172">
        <f t="shared" si="60"/>
        <v>2.3135039439736715E-9</v>
      </c>
      <c r="AQ41" s="172">
        <f t="shared" si="60"/>
        <v>0.1663364063614613</v>
      </c>
      <c r="AR41" s="445">
        <f t="shared" si="60"/>
        <v>5.9848050732466129E-3</v>
      </c>
      <c r="AS41" s="154">
        <f t="shared" ca="1" si="50"/>
        <v>0</v>
      </c>
      <c r="AT41" s="155">
        <f t="shared" ca="1" si="51"/>
        <v>0</v>
      </c>
      <c r="AU41" s="155">
        <f t="shared" si="52"/>
        <v>0</v>
      </c>
      <c r="AV41" s="155">
        <f t="shared" ca="1" si="53"/>
        <v>0</v>
      </c>
      <c r="AW41" s="156">
        <f t="shared" ca="1" si="54"/>
        <v>0</v>
      </c>
      <c r="AX41" s="168">
        <f t="shared" ca="1" si="55"/>
        <v>0</v>
      </c>
      <c r="AY41" s="169">
        <f t="shared" ca="1" si="56"/>
        <v>0</v>
      </c>
      <c r="AZ41" s="169">
        <f t="shared" si="57"/>
        <v>0</v>
      </c>
      <c r="BA41" s="155">
        <f t="shared" ca="1" si="61"/>
        <v>0</v>
      </c>
      <c r="BB41" s="156">
        <f t="shared" ca="1" si="62"/>
        <v>0</v>
      </c>
      <c r="BC41" s="154">
        <f t="shared" ca="1" si="63"/>
        <v>1</v>
      </c>
      <c r="BD41" s="155">
        <f t="shared" ca="1" si="64"/>
        <v>0</v>
      </c>
      <c r="BE41" s="155">
        <f t="shared" ca="1" si="65"/>
        <v>0</v>
      </c>
      <c r="BF41" s="155">
        <f t="shared" ca="1" si="66"/>
        <v>0</v>
      </c>
      <c r="BG41" s="155">
        <f t="shared" ca="1" si="67"/>
        <v>0</v>
      </c>
      <c r="BH41" s="156">
        <f t="shared" ca="1" si="68"/>
        <v>0</v>
      </c>
    </row>
    <row r="42" spans="1:60" ht="13.5" thickBot="1" x14ac:dyDescent="0.25">
      <c r="A42" s="174">
        <v>2025</v>
      </c>
      <c r="B42" s="670">
        <f t="shared" si="69"/>
        <v>138005</v>
      </c>
      <c r="C42" s="671">
        <f t="shared" si="69"/>
        <v>7295.7</v>
      </c>
      <c r="D42" s="671">
        <f t="shared" si="69"/>
        <v>15327.83</v>
      </c>
      <c r="E42" s="671">
        <f t="shared" si="69"/>
        <v>327791.63</v>
      </c>
      <c r="F42" s="671">
        <f t="shared" si="69"/>
        <v>100155.3</v>
      </c>
      <c r="G42" s="672">
        <f t="shared" si="69"/>
        <v>164619.72</v>
      </c>
      <c r="H42" s="820">
        <f t="shared" si="70"/>
        <v>1</v>
      </c>
      <c r="I42" s="821">
        <f t="shared" si="70"/>
        <v>1</v>
      </c>
      <c r="J42" s="821">
        <f t="shared" si="70"/>
        <v>1</v>
      </c>
      <c r="K42" s="821">
        <f t="shared" si="70"/>
        <v>1</v>
      </c>
      <c r="L42" s="821">
        <f t="shared" si="70"/>
        <v>1</v>
      </c>
      <c r="M42" s="822">
        <f t="shared" si="70"/>
        <v>0.8648157419354513</v>
      </c>
      <c r="N42" s="1190">
        <f t="shared" si="28"/>
        <v>8409.7077145635976</v>
      </c>
      <c r="O42" s="137">
        <f t="shared" si="29"/>
        <v>7359.7936035016191</v>
      </c>
      <c r="P42" s="137">
        <f t="shared" si="30"/>
        <v>6920.0907846679247</v>
      </c>
      <c r="Q42" s="137">
        <f t="shared" si="31"/>
        <v>11661.55435391854</v>
      </c>
      <c r="R42" s="137">
        <f t="shared" si="32"/>
        <v>13084.939249438115</v>
      </c>
      <c r="S42" s="1191">
        <f t="shared" si="33"/>
        <v>7909.9018715079155</v>
      </c>
      <c r="T42" s="1190">
        <f t="shared" si="34"/>
        <v>1049.9141110619785</v>
      </c>
      <c r="U42" s="137">
        <f t="shared" si="35"/>
        <v>1489.6169298956729</v>
      </c>
      <c r="V42" s="137">
        <f t="shared" si="36"/>
        <v>-3251.8466393549425</v>
      </c>
      <c r="W42" s="137">
        <f t="shared" si="37"/>
        <v>-4675.2315348745178</v>
      </c>
      <c r="X42" s="178">
        <f t="shared" si="38"/>
        <v>499.80584305568209</v>
      </c>
      <c r="Y42" s="179">
        <f ca="1">IF(AND(Y$22=TRUE,INDEX(CDRANGE_CLS2,MATCH($A42,$A$24:$A$67,0),MATCH(Y$20,$B$20:$G$20,0))&lt;$D$6/OPDAYS_Cls2),86,payback(C42,T42,disc_rate/12,85))</f>
        <v>8</v>
      </c>
      <c r="Z42" s="180">
        <f ca="1">IF(AND(Z$22=TRUE,INDEX(CDRANGE_CLS2,MATCH($A42,$A$24:$A$67,0),MATCH(Z$20,$B$20:$G$20,0))&lt;$D$6/OPDAYS_Cls2),86,payback(D42,U42,disc_rate/12,85))</f>
        <v>11</v>
      </c>
      <c r="AA42" s="180">
        <f>IF(AND(AA$22=TRUE,INDEX(CDRANGE_CLS2,MATCH($A42,$A$24:$A$67,0),MATCH(AA$20,$B$20:$G$20,0))&lt;$D$6/OPDAYS_Cls2),86,payback(E42,V42,disc_rate/12,85))</f>
        <v>86</v>
      </c>
      <c r="AB42" s="180">
        <f ca="1">IF(AND(AB$22=TRUE,INDEX(CDRANGE_CLS2,MATCH($A42,$A$24:$A$67,0),MATCH(AB$20,$B$20:$G$20,0))&lt;$D$6/OPDAYS_Cls2),86,payback(F42,W42,disc_rate/12,85))</f>
        <v>86</v>
      </c>
      <c r="AC42" s="181">
        <f ca="1">IF(AND(AC$22=TRUE,INDEX(CDRANGE_CLS2,MATCH($A42,$A$24:$A$67,0),MATCH(AC$20,$B$20:$G$20,0))&lt;$D$6/OPDAYS_Cls2),86,payback(G42,X42,disc_rate/12,85))</f>
        <v>86</v>
      </c>
      <c r="AD42" s="182">
        <f t="shared" si="39"/>
        <v>0</v>
      </c>
      <c r="AE42" s="183">
        <f t="shared" si="40"/>
        <v>0</v>
      </c>
      <c r="AF42" s="183">
        <f t="shared" si="41"/>
        <v>0</v>
      </c>
      <c r="AG42" s="183">
        <f t="shared" si="42"/>
        <v>0</v>
      </c>
      <c r="AH42" s="184">
        <f t="shared" si="43"/>
        <v>0</v>
      </c>
      <c r="AI42" s="185">
        <f t="shared" si="44"/>
        <v>0</v>
      </c>
      <c r="AJ42" s="186">
        <f t="shared" si="45"/>
        <v>0</v>
      </c>
      <c r="AK42" s="186">
        <f t="shared" si="46"/>
        <v>0</v>
      </c>
      <c r="AL42" s="186">
        <f t="shared" si="47"/>
        <v>0</v>
      </c>
      <c r="AM42" s="187">
        <f t="shared" si="48"/>
        <v>0</v>
      </c>
      <c r="AN42" s="185">
        <f t="shared" si="60"/>
        <v>0.99226683778168134</v>
      </c>
      <c r="AO42" s="186">
        <f t="shared" si="60"/>
        <v>0.96631398891286779</v>
      </c>
      <c r="AP42" s="186">
        <f t="shared" si="60"/>
        <v>1.5633765149125622E-7</v>
      </c>
      <c r="AQ42" s="186">
        <f t="shared" si="60"/>
        <v>0.23153171612658441</v>
      </c>
      <c r="AR42" s="446">
        <f t="shared" si="60"/>
        <v>1.9206678435643498E-2</v>
      </c>
      <c r="AS42" s="677">
        <f t="shared" ca="1" si="50"/>
        <v>0</v>
      </c>
      <c r="AT42" s="678">
        <f t="shared" ca="1" si="51"/>
        <v>0</v>
      </c>
      <c r="AU42" s="678">
        <f t="shared" si="52"/>
        <v>0</v>
      </c>
      <c r="AV42" s="678">
        <f t="shared" ca="1" si="53"/>
        <v>0</v>
      </c>
      <c r="AW42" s="679">
        <f t="shared" ca="1" si="54"/>
        <v>0</v>
      </c>
      <c r="AX42" s="182">
        <f t="shared" ca="1" si="55"/>
        <v>0</v>
      </c>
      <c r="AY42" s="183">
        <f t="shared" ca="1" si="56"/>
        <v>0</v>
      </c>
      <c r="AZ42" s="183">
        <f t="shared" si="57"/>
        <v>0</v>
      </c>
      <c r="BA42" s="183">
        <f t="shared" ca="1" si="61"/>
        <v>0</v>
      </c>
      <c r="BB42" s="184">
        <f t="shared" ca="1" si="62"/>
        <v>0</v>
      </c>
      <c r="BC42" s="182">
        <f t="shared" ca="1" si="63"/>
        <v>1</v>
      </c>
      <c r="BD42" s="183">
        <f t="shared" ca="1" si="64"/>
        <v>0</v>
      </c>
      <c r="BE42" s="183">
        <f t="shared" ca="1" si="65"/>
        <v>0</v>
      </c>
      <c r="BF42" s="183">
        <f t="shared" ca="1" si="66"/>
        <v>0</v>
      </c>
      <c r="BG42" s="183">
        <f t="shared" ca="1" si="67"/>
        <v>0</v>
      </c>
      <c r="BH42" s="184">
        <f t="shared" ca="1" si="68"/>
        <v>0</v>
      </c>
    </row>
    <row r="43" spans="1:60" x14ac:dyDescent="0.2">
      <c r="A43" s="188">
        <v>2026</v>
      </c>
      <c r="B43" s="673">
        <f t="shared" si="69"/>
        <v>138005</v>
      </c>
      <c r="C43" s="674">
        <f t="shared" si="69"/>
        <v>9195.9699999999993</v>
      </c>
      <c r="D43" s="674">
        <f t="shared" si="69"/>
        <v>16793.939999999999</v>
      </c>
      <c r="E43" s="674">
        <f t="shared" si="69"/>
        <v>295950.63</v>
      </c>
      <c r="F43" s="674">
        <f t="shared" si="69"/>
        <v>91901.28</v>
      </c>
      <c r="G43" s="675">
        <f t="shared" si="69"/>
        <v>147167.79999999999</v>
      </c>
      <c r="H43" s="823">
        <f t="shared" si="70"/>
        <v>1</v>
      </c>
      <c r="I43" s="824">
        <f t="shared" si="70"/>
        <v>1</v>
      </c>
      <c r="J43" s="824">
        <f t="shared" si="70"/>
        <v>1</v>
      </c>
      <c r="K43" s="824">
        <f t="shared" si="70"/>
        <v>1</v>
      </c>
      <c r="L43" s="824">
        <f t="shared" si="70"/>
        <v>1</v>
      </c>
      <c r="M43" s="825">
        <f t="shared" si="70"/>
        <v>0.86794588776829418</v>
      </c>
      <c r="N43" s="147">
        <f t="shared" si="28"/>
        <v>8355.7151231351654</v>
      </c>
      <c r="O43" s="148">
        <f t="shared" si="29"/>
        <v>7330.0107582753135</v>
      </c>
      <c r="P43" s="148">
        <f t="shared" si="30"/>
        <v>6887.8708768171709</v>
      </c>
      <c r="Q43" s="148">
        <f t="shared" si="31"/>
        <v>11701.641767791629</v>
      </c>
      <c r="R43" s="148">
        <f t="shared" si="32"/>
        <v>12643.767533490847</v>
      </c>
      <c r="S43" s="150">
        <f t="shared" si="33"/>
        <v>7831.2625246606458</v>
      </c>
      <c r="T43" s="147">
        <f t="shared" si="34"/>
        <v>1025.7043648598519</v>
      </c>
      <c r="U43" s="148">
        <f t="shared" si="35"/>
        <v>1467.8442463179945</v>
      </c>
      <c r="V43" s="148">
        <f t="shared" si="36"/>
        <v>-3345.9266446564634</v>
      </c>
      <c r="W43" s="148">
        <f t="shared" si="37"/>
        <v>-4288.0524103556818</v>
      </c>
      <c r="X43" s="150">
        <f t="shared" si="38"/>
        <v>524.45259847451962</v>
      </c>
      <c r="Y43" s="151">
        <f ca="1">IF(AND(Y$22=TRUE,INDEX(CDRANGE_CLS2,MATCH($A43,$A$24:$A$67,0),MATCH(Y$20,$B$20:$G$20,0))&lt;$D$6/OPDAYS_Cls2),86,payback(C43,T43,disc_rate/12,85))</f>
        <v>10</v>
      </c>
      <c r="Z43" s="152">
        <f ca="1">IF(AND(Z$22=TRUE,INDEX(CDRANGE_CLS2,MATCH($A43,$A$24:$A$67,0),MATCH(Z$20,$B$20:$G$20,0))&lt;$D$6/OPDAYS_Cls2),86,payback(D43,U43,disc_rate/12,85))</f>
        <v>12</v>
      </c>
      <c r="AA43" s="152">
        <f>IF(AND(AA$22=TRUE,INDEX(CDRANGE_CLS2,MATCH($A43,$A$24:$A$67,0),MATCH(AA$20,$B$20:$G$20,0))&lt;$D$6/OPDAYS_Cls2),86,payback(E43,V43,disc_rate/12,85))</f>
        <v>86</v>
      </c>
      <c r="AB43" s="152">
        <f ca="1">IF(AND(AB$22=TRUE,INDEX(CDRANGE_CLS2,MATCH($A43,$A$24:$A$67,0),MATCH(AB$20,$B$20:$G$20,0))&lt;$D$6/OPDAYS_Cls2),86,payback(F43,W43,disc_rate/12,85))</f>
        <v>86</v>
      </c>
      <c r="AC43" s="153">
        <f ca="1">IF(AND(AC$22=TRUE,INDEX(CDRANGE_CLS2,MATCH($A43,$A$24:$A$67,0),MATCH(AC$20,$B$20:$G$20,0))&lt;$D$6/OPDAYS_Cls2),86,payback(G43,X43,disc_rate/12,85))</f>
        <v>86</v>
      </c>
      <c r="AD43" s="154">
        <f t="shared" si="39"/>
        <v>0</v>
      </c>
      <c r="AE43" s="155">
        <f t="shared" si="40"/>
        <v>0</v>
      </c>
      <c r="AF43" s="155">
        <f t="shared" si="41"/>
        <v>0</v>
      </c>
      <c r="AG43" s="155">
        <f t="shared" si="42"/>
        <v>0</v>
      </c>
      <c r="AH43" s="156">
        <f t="shared" si="43"/>
        <v>0</v>
      </c>
      <c r="AI43" s="157">
        <f t="shared" si="44"/>
        <v>2.3712936588783391E-2</v>
      </c>
      <c r="AJ43" s="158">
        <f t="shared" si="45"/>
        <v>2.3712936588783391E-2</v>
      </c>
      <c r="AK43" s="158">
        <f t="shared" si="46"/>
        <v>2.3712936588783391E-2</v>
      </c>
      <c r="AL43" s="158">
        <f t="shared" si="47"/>
        <v>2.3712936588783391E-2</v>
      </c>
      <c r="AM43" s="159">
        <f t="shared" si="48"/>
        <v>2.3712936588783391E-2</v>
      </c>
      <c r="AN43" s="157">
        <f t="shared" si="60"/>
        <v>0.98774177995893497</v>
      </c>
      <c r="AO43" s="158">
        <f t="shared" si="60"/>
        <v>0.95969942093688854</v>
      </c>
      <c r="AP43" s="158">
        <f t="shared" si="60"/>
        <v>2.8318706817298533E-6</v>
      </c>
      <c r="AQ43" s="158">
        <f t="shared" si="60"/>
        <v>0.29175800568414412</v>
      </c>
      <c r="AR43" s="458">
        <f t="shared" si="60"/>
        <v>4.2473184561460542E-2</v>
      </c>
      <c r="AS43" s="484">
        <f t="shared" ca="1" si="50"/>
        <v>4.5577710229944134E-2</v>
      </c>
      <c r="AT43" s="485">
        <f t="shared" ca="1" si="51"/>
        <v>4.3671629597748771E-2</v>
      </c>
      <c r="AU43" s="485">
        <f t="shared" si="52"/>
        <v>0</v>
      </c>
      <c r="AV43" s="485">
        <f t="shared" ca="1" si="53"/>
        <v>0</v>
      </c>
      <c r="AW43" s="486">
        <f t="shared" ca="1" si="54"/>
        <v>0</v>
      </c>
      <c r="AX43" s="154">
        <f t="shared" ca="1" si="55"/>
        <v>4.5019008628977578E-2</v>
      </c>
      <c r="AY43" s="155">
        <f t="shared" ca="1" si="56"/>
        <v>4.1911637636329775E-2</v>
      </c>
      <c r="AZ43" s="155">
        <f t="shared" si="57"/>
        <v>0</v>
      </c>
      <c r="BA43" s="155">
        <f t="shared" ca="1" si="61"/>
        <v>0</v>
      </c>
      <c r="BB43" s="156">
        <f t="shared" ca="1" si="62"/>
        <v>0</v>
      </c>
      <c r="BC43" s="154">
        <f t="shared" ca="1" si="63"/>
        <v>0.95498099137102244</v>
      </c>
      <c r="BD43" s="155">
        <f t="shared" ca="1" si="64"/>
        <v>2.3314115619830451E-2</v>
      </c>
      <c r="BE43" s="155">
        <f t="shared" ca="1" si="65"/>
        <v>2.1704893009147127E-2</v>
      </c>
      <c r="BF43" s="155">
        <f t="shared" ca="1" si="66"/>
        <v>0</v>
      </c>
      <c r="BG43" s="155">
        <f t="shared" ca="1" si="67"/>
        <v>0</v>
      </c>
      <c r="BH43" s="156">
        <f t="shared" ca="1" si="68"/>
        <v>0</v>
      </c>
    </row>
    <row r="44" spans="1:60" x14ac:dyDescent="0.2">
      <c r="A44" s="189">
        <v>2027</v>
      </c>
      <c r="B44" s="667">
        <f t="shared" ref="B44:G53" si="71">ROUND(INDEX(COST_Cls2,$A44-($A$24-1),MATCH(B$20,TECHOPTS_Cls2,0)),2)</f>
        <v>138005</v>
      </c>
      <c r="C44" s="668">
        <f t="shared" si="71"/>
        <v>11156.69</v>
      </c>
      <c r="D44" s="668">
        <f t="shared" si="71"/>
        <v>18306.689999999999</v>
      </c>
      <c r="E44" s="668">
        <f t="shared" si="71"/>
        <v>263096.69</v>
      </c>
      <c r="F44" s="668">
        <f t="shared" si="71"/>
        <v>83384.69</v>
      </c>
      <c r="G44" s="669">
        <f t="shared" si="71"/>
        <v>129160.69</v>
      </c>
      <c r="H44" s="826">
        <f t="shared" ref="H44:M53" si="72">IF(H$21="Single-fuel",1,1-MIN(INDEX(CDRANGE_CLS2,$A44-($A$24-1),MATCH(H$20,TECHOPTS_Cls2,0))*OPDAYS_Cls2/$D$6,1))</f>
        <v>1</v>
      </c>
      <c r="I44" s="827">
        <f t="shared" si="72"/>
        <v>1</v>
      </c>
      <c r="J44" s="827">
        <f t="shared" si="72"/>
        <v>1</v>
      </c>
      <c r="K44" s="827">
        <f t="shared" si="72"/>
        <v>1</v>
      </c>
      <c r="L44" s="827">
        <f t="shared" si="72"/>
        <v>1</v>
      </c>
      <c r="M44" s="828">
        <f t="shared" si="72"/>
        <v>0.87117561149506395</v>
      </c>
      <c r="N44" s="161">
        <f t="shared" si="28"/>
        <v>8180.6579525392699</v>
      </c>
      <c r="O44" s="162">
        <f t="shared" si="29"/>
        <v>7185.5151417440784</v>
      </c>
      <c r="P44" s="162">
        <f t="shared" si="30"/>
        <v>6748.0174842366987</v>
      </c>
      <c r="Q44" s="162">
        <f t="shared" si="31"/>
        <v>11625.841952238185</v>
      </c>
      <c r="R44" s="162">
        <f t="shared" si="32"/>
        <v>12210.785744763398</v>
      </c>
      <c r="S44" s="164">
        <f t="shared" si="33"/>
        <v>7639.93095014153</v>
      </c>
      <c r="T44" s="161">
        <f t="shared" si="34"/>
        <v>995.14281079519151</v>
      </c>
      <c r="U44" s="162">
        <f t="shared" si="35"/>
        <v>1432.6404683025712</v>
      </c>
      <c r="V44" s="162">
        <f t="shared" si="36"/>
        <v>-3445.1839996989147</v>
      </c>
      <c r="W44" s="162">
        <f t="shared" si="37"/>
        <v>-4030.1277922241279</v>
      </c>
      <c r="X44" s="164">
        <f t="shared" si="38"/>
        <v>540.72700239773985</v>
      </c>
      <c r="Y44" s="165">
        <f ca="1">IF(AND(Y$22=TRUE,INDEX(CDRANGE_CLS2,MATCH($A44,$A$24:$A$67,0),MATCH(Y$20,$B$20:$G$20,0))&lt;$D$6/OPDAYS_Cls2),86,payback(C44,T44,disc_rate/12,85))</f>
        <v>12</v>
      </c>
      <c r="Z44" s="166">
        <f ca="1">IF(AND(Z$22=TRUE,INDEX(CDRANGE_CLS2,MATCH($A44,$A$24:$A$67,0),MATCH(Z$20,$B$20:$G$20,0))&lt;$D$6/OPDAYS_Cls2),86,payback(D44,U44,disc_rate/12,85))</f>
        <v>14</v>
      </c>
      <c r="AA44" s="166">
        <f>IF(AND(AA$22=TRUE,INDEX(CDRANGE_CLS2,MATCH($A44,$A$24:$A$67,0),MATCH(AA$20,$B$20:$G$20,0))&lt;$D$6/OPDAYS_Cls2),86,payback(E44,V44,disc_rate/12,85))</f>
        <v>86</v>
      </c>
      <c r="AB44" s="166">
        <f ca="1">IF(AND(AB$22=TRUE,INDEX(CDRANGE_CLS2,MATCH($A44,$A$24:$A$67,0),MATCH(AB$20,$B$20:$G$20,0))&lt;$D$6/OPDAYS_Cls2),86,payback(F44,W44,disc_rate/12,85))</f>
        <v>86</v>
      </c>
      <c r="AC44" s="167">
        <f ca="1">IF(AND(AC$22=TRUE,INDEX(CDRANGE_CLS2,MATCH($A44,$A$24:$A$67,0),MATCH(AC$20,$B$20:$G$20,0))&lt;$D$6/OPDAYS_Cls2),86,payback(G44,X44,disc_rate/12,85))</f>
        <v>86</v>
      </c>
      <c r="AD44" s="168">
        <f t="shared" si="39"/>
        <v>0</v>
      </c>
      <c r="AE44" s="169">
        <f t="shared" si="40"/>
        <v>0</v>
      </c>
      <c r="AF44" s="169">
        <f t="shared" si="41"/>
        <v>0</v>
      </c>
      <c r="AG44" s="169">
        <f t="shared" si="42"/>
        <v>0</v>
      </c>
      <c r="AH44" s="170">
        <f t="shared" si="43"/>
        <v>0</v>
      </c>
      <c r="AI44" s="171">
        <f t="shared" si="44"/>
        <v>5.9601461011058773E-2</v>
      </c>
      <c r="AJ44" s="172">
        <f t="shared" si="45"/>
        <v>5.9601461011058773E-2</v>
      </c>
      <c r="AK44" s="172">
        <f t="shared" si="46"/>
        <v>5.9601461011058773E-2</v>
      </c>
      <c r="AL44" s="172">
        <f t="shared" si="47"/>
        <v>5.9601461011058773E-2</v>
      </c>
      <c r="AM44" s="173">
        <f t="shared" si="48"/>
        <v>5.9601461011058773E-2</v>
      </c>
      <c r="AN44" s="171">
        <f t="shared" si="60"/>
        <v>0.98200953435330751</v>
      </c>
      <c r="AO44" s="172">
        <f t="shared" si="60"/>
        <v>0.9522957933660553</v>
      </c>
      <c r="AP44" s="172">
        <f t="shared" si="60"/>
        <v>4.1254479062891036E-5</v>
      </c>
      <c r="AQ44" s="172">
        <f t="shared" si="60"/>
        <v>0.36272898386792662</v>
      </c>
      <c r="AR44" s="445">
        <f t="shared" si="60"/>
        <v>8.7760107311261604E-2</v>
      </c>
      <c r="AS44" s="154">
        <f t="shared" ca="1" si="50"/>
        <v>0.10976678991293028</v>
      </c>
      <c r="AT44" s="155">
        <f t="shared" ca="1" si="51"/>
        <v>0.10379447262706548</v>
      </c>
      <c r="AU44" s="155">
        <f t="shared" si="52"/>
        <v>0</v>
      </c>
      <c r="AV44" s="155">
        <f t="shared" ca="1" si="53"/>
        <v>0</v>
      </c>
      <c r="AW44" s="156">
        <f t="shared" ca="1" si="54"/>
        <v>0</v>
      </c>
      <c r="AX44" s="168">
        <f t="shared" ca="1" si="55"/>
        <v>0.10779203424985399</v>
      </c>
      <c r="AY44" s="169">
        <f t="shared" ca="1" si="56"/>
        <v>9.8843039657402626E-2</v>
      </c>
      <c r="AZ44" s="169">
        <f t="shared" si="57"/>
        <v>0</v>
      </c>
      <c r="BA44" s="155">
        <f t="shared" ca="1" si="61"/>
        <v>0</v>
      </c>
      <c r="BB44" s="156">
        <f t="shared" ca="1" si="62"/>
        <v>0</v>
      </c>
      <c r="BC44" s="154">
        <f t="shared" ca="1" si="63"/>
        <v>0.89220796575014605</v>
      </c>
      <c r="BD44" s="155">
        <f t="shared" ca="1" si="64"/>
        <v>5.6230157001016544E-2</v>
      </c>
      <c r="BE44" s="155">
        <f t="shared" ca="1" si="65"/>
        <v>5.156187724883745E-2</v>
      </c>
      <c r="BF44" s="155">
        <f t="shared" ca="1" si="66"/>
        <v>0</v>
      </c>
      <c r="BG44" s="155">
        <f t="shared" ca="1" si="67"/>
        <v>0</v>
      </c>
      <c r="BH44" s="156">
        <f t="shared" ca="1" si="68"/>
        <v>0</v>
      </c>
    </row>
    <row r="45" spans="1:60" x14ac:dyDescent="0.2">
      <c r="A45" s="189">
        <v>2028</v>
      </c>
      <c r="B45" s="667">
        <f t="shared" si="71"/>
        <v>138718.45000000001</v>
      </c>
      <c r="C45" s="668">
        <f t="shared" si="71"/>
        <v>11650.54</v>
      </c>
      <c r="D45" s="668">
        <f t="shared" si="71"/>
        <v>18644.330000000002</v>
      </c>
      <c r="E45" s="668">
        <f t="shared" si="71"/>
        <v>238124.77</v>
      </c>
      <c r="F45" s="668">
        <f t="shared" si="71"/>
        <v>80429.31</v>
      </c>
      <c r="G45" s="669">
        <f t="shared" si="71"/>
        <v>119075.14</v>
      </c>
      <c r="H45" s="826">
        <f t="shared" si="72"/>
        <v>1</v>
      </c>
      <c r="I45" s="827">
        <f t="shared" si="72"/>
        <v>1</v>
      </c>
      <c r="J45" s="827">
        <f t="shared" si="72"/>
        <v>1</v>
      </c>
      <c r="K45" s="827">
        <f t="shared" si="72"/>
        <v>1</v>
      </c>
      <c r="L45" s="827">
        <f t="shared" si="72"/>
        <v>1</v>
      </c>
      <c r="M45" s="828">
        <f t="shared" si="72"/>
        <v>0.86976614940787011</v>
      </c>
      <c r="N45" s="161">
        <f t="shared" si="28"/>
        <v>8218.8537211430412</v>
      </c>
      <c r="O45" s="162">
        <f t="shared" si="29"/>
        <v>7006.5957971774851</v>
      </c>
      <c r="P45" s="162">
        <f t="shared" si="30"/>
        <v>6564.8459150223625</v>
      </c>
      <c r="Q45" s="162">
        <f t="shared" si="31"/>
        <v>11253.354130676511</v>
      </c>
      <c r="R45" s="162">
        <f t="shared" si="32"/>
        <v>11642.31179801643</v>
      </c>
      <c r="S45" s="164">
        <f t="shared" si="33"/>
        <v>7477.3107786854025</v>
      </c>
      <c r="T45" s="161">
        <f t="shared" si="34"/>
        <v>1212.2579239655561</v>
      </c>
      <c r="U45" s="162">
        <f t="shared" si="35"/>
        <v>1654.0078061206787</v>
      </c>
      <c r="V45" s="162">
        <f t="shared" si="36"/>
        <v>-3034.5004095334698</v>
      </c>
      <c r="W45" s="162">
        <f t="shared" si="37"/>
        <v>-3423.4580768733886</v>
      </c>
      <c r="X45" s="164">
        <f t="shared" si="38"/>
        <v>741.54294245763867</v>
      </c>
      <c r="Y45" s="165">
        <f ca="1">IF(AND(Y$22=TRUE,INDEX(CDRANGE_CLS2,MATCH($A45,$A$24:$A$67,0),MATCH(Y$20,$B$20:$G$20,0))&lt;$D$6/OPDAYS_Cls2),86,payback(C45,T45,disc_rate/12,85))</f>
        <v>10</v>
      </c>
      <c r="Z45" s="166">
        <f ca="1">IF(AND(Z$22=TRUE,INDEX(CDRANGE_CLS2,MATCH($A45,$A$24:$A$67,0),MATCH(Z$20,$B$20:$G$20,0))&lt;$D$6/OPDAYS_Cls2),86,payback(D45,U45,disc_rate/12,85))</f>
        <v>12</v>
      </c>
      <c r="AA45" s="166">
        <f>IF(AND(AA$22=TRUE,INDEX(CDRANGE_CLS2,MATCH($A45,$A$24:$A$67,0),MATCH(AA$20,$B$20:$G$20,0))&lt;$D$6/OPDAYS_Cls2),86,payback(E45,V45,disc_rate/12,85))</f>
        <v>86</v>
      </c>
      <c r="AB45" s="166">
        <f ca="1">IF(AND(AB$22=TRUE,INDEX(CDRANGE_CLS2,MATCH($A45,$A$24:$A$67,0),MATCH(AB$20,$B$20:$G$20,0))&lt;$D$6/OPDAYS_Cls2),86,payback(F45,W45,disc_rate/12,85))</f>
        <v>86</v>
      </c>
      <c r="AC45" s="167">
        <f ca="1">IF(AND(AC$22=TRUE,INDEX(CDRANGE_CLS2,MATCH($A45,$A$24:$A$67,0),MATCH(AC$20,$B$20:$G$20,0))&lt;$D$6/OPDAYS_Cls2),86,payback(G45,X45,disc_rate/12,85))</f>
        <v>86</v>
      </c>
      <c r="AD45" s="168">
        <f t="shared" si="39"/>
        <v>0</v>
      </c>
      <c r="AE45" s="169">
        <f t="shared" si="40"/>
        <v>0</v>
      </c>
      <c r="AF45" s="169">
        <f t="shared" si="41"/>
        <v>0</v>
      </c>
      <c r="AG45" s="169">
        <f t="shared" si="42"/>
        <v>0</v>
      </c>
      <c r="AH45" s="170">
        <f t="shared" si="43"/>
        <v>0</v>
      </c>
      <c r="AI45" s="171">
        <f t="shared" si="44"/>
        <v>0.13447071068499755</v>
      </c>
      <c r="AJ45" s="172">
        <f t="shared" si="45"/>
        <v>0.13447071068499755</v>
      </c>
      <c r="AK45" s="172">
        <f t="shared" si="46"/>
        <v>0.13447071068499755</v>
      </c>
      <c r="AL45" s="172">
        <f t="shared" si="47"/>
        <v>0.13447071068499755</v>
      </c>
      <c r="AM45" s="173">
        <f t="shared" si="48"/>
        <v>0.13447071068499755</v>
      </c>
      <c r="AN45" s="171">
        <f t="shared" si="60"/>
        <v>0.98059680098563096</v>
      </c>
      <c r="AO45" s="172">
        <f t="shared" si="60"/>
        <v>0.95105910323630749</v>
      </c>
      <c r="AP45" s="172">
        <f t="shared" si="60"/>
        <v>2.7870194026935469E-4</v>
      </c>
      <c r="AQ45" s="172">
        <f t="shared" si="60"/>
        <v>0.39305398868253161</v>
      </c>
      <c r="AR45" s="445">
        <f t="shared" si="60"/>
        <v>0.12915004863727464</v>
      </c>
      <c r="AS45" s="154">
        <f t="shared" ca="1" si="50"/>
        <v>0.25846090647897763</v>
      </c>
      <c r="AT45" s="155">
        <f t="shared" ca="1" si="51"/>
        <v>0.24765195347247992</v>
      </c>
      <c r="AU45" s="155">
        <f t="shared" si="52"/>
        <v>0</v>
      </c>
      <c r="AV45" s="155">
        <f t="shared" ca="1" si="53"/>
        <v>0</v>
      </c>
      <c r="AW45" s="156">
        <f t="shared" ca="1" si="54"/>
        <v>0</v>
      </c>
      <c r="AX45" s="168">
        <f t="shared" ca="1" si="55"/>
        <v>0.25344593807313182</v>
      </c>
      <c r="AY45" s="169">
        <f t="shared" ca="1" si="56"/>
        <v>0.23553164478425651</v>
      </c>
      <c r="AZ45" s="169">
        <f t="shared" si="57"/>
        <v>0</v>
      </c>
      <c r="BA45" s="155">
        <f t="shared" ca="1" si="61"/>
        <v>0</v>
      </c>
      <c r="BB45" s="156">
        <f t="shared" ca="1" si="62"/>
        <v>0</v>
      </c>
      <c r="BC45" s="154">
        <f t="shared" ca="1" si="63"/>
        <v>0.74655406192686824</v>
      </c>
      <c r="BD45" s="155">
        <f t="shared" ca="1" si="64"/>
        <v>0.13136562038367317</v>
      </c>
      <c r="BE45" s="155">
        <f t="shared" ca="1" si="65"/>
        <v>0.12208031768945864</v>
      </c>
      <c r="BF45" s="155">
        <f t="shared" ca="1" si="66"/>
        <v>0</v>
      </c>
      <c r="BG45" s="155">
        <f t="shared" ca="1" si="67"/>
        <v>0</v>
      </c>
      <c r="BH45" s="156">
        <f t="shared" ca="1" si="68"/>
        <v>0</v>
      </c>
    </row>
    <row r="46" spans="1:60" x14ac:dyDescent="0.2">
      <c r="A46" s="189">
        <v>2029</v>
      </c>
      <c r="B46" s="667">
        <f t="shared" si="71"/>
        <v>139224.5</v>
      </c>
      <c r="C46" s="668">
        <f t="shared" si="71"/>
        <v>12021.83</v>
      </c>
      <c r="D46" s="668">
        <f t="shared" si="71"/>
        <v>18898.18</v>
      </c>
      <c r="E46" s="668">
        <f t="shared" si="71"/>
        <v>219350.75</v>
      </c>
      <c r="F46" s="668">
        <f t="shared" si="71"/>
        <v>78207.45</v>
      </c>
      <c r="G46" s="669">
        <f t="shared" si="71"/>
        <v>111492.78</v>
      </c>
      <c r="H46" s="826">
        <f t="shared" si="72"/>
        <v>1</v>
      </c>
      <c r="I46" s="827">
        <f t="shared" si="72"/>
        <v>1</v>
      </c>
      <c r="J46" s="827">
        <f t="shared" si="72"/>
        <v>1</v>
      </c>
      <c r="K46" s="827">
        <f t="shared" si="72"/>
        <v>1</v>
      </c>
      <c r="L46" s="827">
        <f t="shared" si="72"/>
        <v>1</v>
      </c>
      <c r="M46" s="828">
        <f t="shared" si="72"/>
        <v>0.8687065084843163</v>
      </c>
      <c r="N46" s="161">
        <f t="shared" si="28"/>
        <v>8234.1728817280855</v>
      </c>
      <c r="O46" s="162">
        <f t="shared" si="29"/>
        <v>6867.3657688087751</v>
      </c>
      <c r="P46" s="162">
        <f t="shared" si="30"/>
        <v>6424.0265890293358</v>
      </c>
      <c r="Q46" s="162">
        <f t="shared" si="31"/>
        <v>10960.606116206422</v>
      </c>
      <c r="R46" s="162">
        <f t="shared" si="32"/>
        <v>11185.316671818111</v>
      </c>
      <c r="S46" s="164">
        <f t="shared" si="33"/>
        <v>7346.4413518870406</v>
      </c>
      <c r="T46" s="161">
        <f t="shared" si="34"/>
        <v>1366.8071129193104</v>
      </c>
      <c r="U46" s="162">
        <f t="shared" si="35"/>
        <v>1810.1462926987497</v>
      </c>
      <c r="V46" s="162">
        <f t="shared" si="36"/>
        <v>-2726.4332344783361</v>
      </c>
      <c r="W46" s="162">
        <f t="shared" si="37"/>
        <v>-2951.1437900900255</v>
      </c>
      <c r="X46" s="164">
        <f t="shared" si="38"/>
        <v>887.7315298410449</v>
      </c>
      <c r="Y46" s="165">
        <f ca="1">IF(AND(Y$22=TRUE,INDEX(CDRANGE_CLS2,MATCH($A46,$A$24:$A$67,0),MATCH(Y$20,$B$20:$G$20,0))&lt;$D$6/OPDAYS_Cls2),86,payback(C46,T46,disc_rate/12,85))</f>
        <v>10</v>
      </c>
      <c r="Z46" s="166">
        <f ca="1">IF(AND(Z$22=TRUE,INDEX(CDRANGE_CLS2,MATCH($A46,$A$24:$A$67,0),MATCH(Z$20,$B$20:$G$20,0))&lt;$D$6/OPDAYS_Cls2),86,payback(D46,U46,disc_rate/12,85))</f>
        <v>11</v>
      </c>
      <c r="AA46" s="166">
        <f>IF(AND(AA$22=TRUE,INDEX(CDRANGE_CLS2,MATCH($A46,$A$24:$A$67,0),MATCH(AA$20,$B$20:$G$20,0))&lt;$D$6/OPDAYS_Cls2),86,payback(E46,V46,disc_rate/12,85))</f>
        <v>86</v>
      </c>
      <c r="AB46" s="166">
        <f ca="1">IF(AND(AB$22=TRUE,INDEX(CDRANGE_CLS2,MATCH($A46,$A$24:$A$67,0),MATCH(AB$20,$B$20:$G$20,0))&lt;$D$6/OPDAYS_Cls2),86,payback(F46,W46,disc_rate/12,85))</f>
        <v>86</v>
      </c>
      <c r="AC46" s="167">
        <f ca="1">IF(AND(AC$22=TRUE,INDEX(CDRANGE_CLS2,MATCH($A46,$A$24:$A$67,0),MATCH(AC$20,$B$20:$G$20,0))&lt;$D$6/OPDAYS_Cls2),86,payback(G46,X46,disc_rate/12,85))</f>
        <v>86</v>
      </c>
      <c r="AD46" s="168">
        <f t="shared" si="39"/>
        <v>0</v>
      </c>
      <c r="AE46" s="169">
        <f t="shared" si="40"/>
        <v>0</v>
      </c>
      <c r="AF46" s="169">
        <f t="shared" si="41"/>
        <v>0</v>
      </c>
      <c r="AG46" s="169">
        <f t="shared" si="42"/>
        <v>0</v>
      </c>
      <c r="AH46" s="170">
        <f t="shared" si="43"/>
        <v>0</v>
      </c>
      <c r="AI46" s="171">
        <f t="shared" si="44"/>
        <v>0.25</v>
      </c>
      <c r="AJ46" s="172">
        <f t="shared" si="45"/>
        <v>0.25</v>
      </c>
      <c r="AK46" s="172">
        <f t="shared" si="46"/>
        <v>0.25</v>
      </c>
      <c r="AL46" s="172">
        <f t="shared" si="47"/>
        <v>0.25</v>
      </c>
      <c r="AM46" s="173">
        <f t="shared" si="48"/>
        <v>0.25</v>
      </c>
      <c r="AN46" s="171">
        <f t="shared" si="60"/>
        <v>0.97950170726161068</v>
      </c>
      <c r="AO46" s="172">
        <f t="shared" si="60"/>
        <v>0.95010698116435488</v>
      </c>
      <c r="AP46" s="172">
        <f t="shared" si="60"/>
        <v>1.0126738958817771E-3</v>
      </c>
      <c r="AQ46" s="172">
        <f t="shared" si="60"/>
        <v>0.41622837776949972</v>
      </c>
      <c r="AR46" s="445">
        <f t="shared" si="60"/>
        <v>0.16840345799551437</v>
      </c>
      <c r="AS46" s="154">
        <f t="shared" ca="1" si="50"/>
        <v>0.48051524596391765</v>
      </c>
      <c r="AT46" s="155">
        <f t="shared" ca="1" si="51"/>
        <v>0.47116621307825446</v>
      </c>
      <c r="AU46" s="155">
        <f t="shared" si="52"/>
        <v>0</v>
      </c>
      <c r="AV46" s="155">
        <f t="shared" ca="1" si="53"/>
        <v>0</v>
      </c>
      <c r="AW46" s="156">
        <f t="shared" ca="1" si="54"/>
        <v>0</v>
      </c>
      <c r="AX46" s="168">
        <f t="shared" ca="1" si="55"/>
        <v>0.47066550378689009</v>
      </c>
      <c r="AY46" s="169">
        <f t="shared" ca="1" si="56"/>
        <v>0.44765830833442155</v>
      </c>
      <c r="AZ46" s="169">
        <f t="shared" si="57"/>
        <v>0</v>
      </c>
      <c r="BA46" s="155">
        <f t="shared" ca="1" si="61"/>
        <v>0</v>
      </c>
      <c r="BB46" s="156">
        <f t="shared" ca="1" si="62"/>
        <v>0</v>
      </c>
      <c r="BC46" s="154">
        <f t="shared" ca="1" si="63"/>
        <v>0.52933449621310991</v>
      </c>
      <c r="BD46" s="155">
        <f t="shared" ca="1" si="64"/>
        <v>0.24122865326038528</v>
      </c>
      <c r="BE46" s="155">
        <f t="shared" ca="1" si="65"/>
        <v>0.22943685052650484</v>
      </c>
      <c r="BF46" s="155">
        <f t="shared" ca="1" si="66"/>
        <v>0</v>
      </c>
      <c r="BG46" s="155">
        <f t="shared" ca="1" si="67"/>
        <v>0</v>
      </c>
      <c r="BH46" s="156">
        <f t="shared" ca="1" si="68"/>
        <v>0</v>
      </c>
    </row>
    <row r="47" spans="1:60" ht="13.5" thickBot="1" x14ac:dyDescent="0.25">
      <c r="A47" s="174">
        <v>2030</v>
      </c>
      <c r="B47" s="661">
        <f t="shared" si="71"/>
        <v>139523.14000000001</v>
      </c>
      <c r="C47" s="662">
        <f t="shared" si="71"/>
        <v>12484.33</v>
      </c>
      <c r="D47" s="662">
        <f t="shared" si="71"/>
        <v>19214.39</v>
      </c>
      <c r="E47" s="662">
        <f t="shared" si="71"/>
        <v>195964.26</v>
      </c>
      <c r="F47" s="662">
        <f t="shared" si="71"/>
        <v>75439.710000000006</v>
      </c>
      <c r="G47" s="663">
        <f t="shared" si="71"/>
        <v>102047.56</v>
      </c>
      <c r="H47" s="820">
        <f t="shared" si="72"/>
        <v>1</v>
      </c>
      <c r="I47" s="821">
        <f t="shared" si="72"/>
        <v>1</v>
      </c>
      <c r="J47" s="821">
        <f t="shared" si="72"/>
        <v>1</v>
      </c>
      <c r="K47" s="821">
        <f t="shared" si="72"/>
        <v>1</v>
      </c>
      <c r="L47" s="821">
        <f t="shared" si="72"/>
        <v>1</v>
      </c>
      <c r="M47" s="822">
        <f t="shared" si="72"/>
        <v>0.86738653121454423</v>
      </c>
      <c r="N47" s="175">
        <f t="shared" si="28"/>
        <v>8369.3569980978064</v>
      </c>
      <c r="O47" s="176">
        <f t="shared" si="29"/>
        <v>6766.7117805018215</v>
      </c>
      <c r="P47" s="176">
        <f t="shared" si="30"/>
        <v>6317.9849049774157</v>
      </c>
      <c r="Q47" s="176">
        <f t="shared" si="31"/>
        <v>10617.17281096507</v>
      </c>
      <c r="R47" s="176">
        <f t="shared" si="32"/>
        <v>10692.153692261041</v>
      </c>
      <c r="S47" s="178">
        <f t="shared" si="33"/>
        <v>7245.8313872080389</v>
      </c>
      <c r="T47" s="175">
        <f t="shared" si="34"/>
        <v>1602.6452175959848</v>
      </c>
      <c r="U47" s="176">
        <f t="shared" si="35"/>
        <v>2051.3720931203907</v>
      </c>
      <c r="V47" s="176">
        <f t="shared" si="36"/>
        <v>-2247.815812867264</v>
      </c>
      <c r="W47" s="176">
        <f t="shared" si="37"/>
        <v>-2322.7966941632349</v>
      </c>
      <c r="X47" s="178">
        <f t="shared" si="38"/>
        <v>1123.5256108897674</v>
      </c>
      <c r="Y47" s="179">
        <f ca="1">IF(AND(Y$22=TRUE,INDEX(CDRANGE_CLS2,MATCH($A47,$A$24:$A$67,0),MATCH(Y$20,$B$20:$G$20,0))&lt;$D$6/OPDAYS_Cls2),86,payback(C47,T47,disc_rate/12,85))</f>
        <v>9</v>
      </c>
      <c r="Z47" s="180">
        <f ca="1">IF(AND(Z$22=TRUE,INDEX(CDRANGE_CLS2,MATCH($A47,$A$24:$A$67,0),MATCH(Z$20,$B$20:$G$20,0))&lt;$D$6/OPDAYS_Cls2),86,payback(D47,U47,disc_rate/12,85))</f>
        <v>10</v>
      </c>
      <c r="AA47" s="180">
        <f>IF(AND(AA$22=TRUE,INDEX(CDRANGE_CLS2,MATCH($A47,$A$24:$A$67,0),MATCH(AA$20,$B$20:$G$20,0))&lt;$D$6/OPDAYS_Cls2),86,payback(E47,V47,disc_rate/12,85))</f>
        <v>86</v>
      </c>
      <c r="AB47" s="180">
        <f ca="1">IF(AND(AB$22=TRUE,INDEX(CDRANGE_CLS2,MATCH($A47,$A$24:$A$67,0),MATCH(AB$20,$B$20:$G$20,0))&lt;$D$6/OPDAYS_Cls2),86,payback(F47,W47,disc_rate/12,85))</f>
        <v>86</v>
      </c>
      <c r="AC47" s="181">
        <f ca="1">IF(AND(AC$22=TRUE,INDEX(CDRANGE_CLS2,MATCH($A47,$A$24:$A$67,0),MATCH(AC$20,$B$20:$G$20,0))&lt;$D$6/OPDAYS_Cls2),86,payback(G47,X47,disc_rate/12,85))</f>
        <v>86</v>
      </c>
      <c r="AD47" s="182">
        <f t="shared" si="39"/>
        <v>0</v>
      </c>
      <c r="AE47" s="183">
        <f t="shared" si="40"/>
        <v>0</v>
      </c>
      <c r="AF47" s="183">
        <f t="shared" si="41"/>
        <v>0</v>
      </c>
      <c r="AG47" s="183">
        <f t="shared" si="42"/>
        <v>0</v>
      </c>
      <c r="AH47" s="184">
        <f t="shared" si="43"/>
        <v>0</v>
      </c>
      <c r="AI47" s="185">
        <f t="shared" si="44"/>
        <v>0.36552928931500245</v>
      </c>
      <c r="AJ47" s="186">
        <f t="shared" si="45"/>
        <v>0.36552928931500245</v>
      </c>
      <c r="AK47" s="186">
        <f t="shared" si="46"/>
        <v>0.36552928931500245</v>
      </c>
      <c r="AL47" s="186">
        <f t="shared" si="47"/>
        <v>0.36552928931500245</v>
      </c>
      <c r="AM47" s="187">
        <f t="shared" si="48"/>
        <v>0.36552928931500245</v>
      </c>
      <c r="AN47" s="477">
        <f t="shared" si="60"/>
        <v>0.97800544985882631</v>
      </c>
      <c r="AO47" s="475">
        <f t="shared" si="60"/>
        <v>0.94868210963268662</v>
      </c>
      <c r="AP47" s="475">
        <f t="shared" si="60"/>
        <v>4.1704766415578964E-3</v>
      </c>
      <c r="AQ47" s="475">
        <f t="shared" si="60"/>
        <v>0.44392855836809808</v>
      </c>
      <c r="AR47" s="476">
        <f t="shared" si="60"/>
        <v>0.22628256614701092</v>
      </c>
      <c r="AS47" s="191">
        <f t="shared" ca="1" si="50"/>
        <v>0.71394827812308648</v>
      </c>
      <c r="AT47" s="192">
        <f t="shared" ca="1" si="51"/>
        <v>0.70256958544885761</v>
      </c>
      <c r="AU47" s="192">
        <f t="shared" si="52"/>
        <v>0</v>
      </c>
      <c r="AV47" s="192">
        <f t="shared" ca="1" si="53"/>
        <v>0</v>
      </c>
      <c r="AW47" s="193">
        <f t="shared" ca="1" si="54"/>
        <v>0</v>
      </c>
      <c r="AX47" s="182">
        <f t="shared" ca="1" si="55"/>
        <v>0.69824530692170361</v>
      </c>
      <c r="AY47" s="183">
        <f t="shared" ca="1" si="56"/>
        <v>0.66651519648738433</v>
      </c>
      <c r="AZ47" s="183">
        <f t="shared" si="57"/>
        <v>0</v>
      </c>
      <c r="BA47" s="183">
        <f t="shared" ca="1" si="61"/>
        <v>0</v>
      </c>
      <c r="BB47" s="184">
        <f t="shared" ca="1" si="62"/>
        <v>0</v>
      </c>
      <c r="BC47" s="182">
        <f t="shared" ca="1" si="63"/>
        <v>0.30175469307829639</v>
      </c>
      <c r="BD47" s="183">
        <f t="shared" ca="1" si="64"/>
        <v>0.35723960901588436</v>
      </c>
      <c r="BE47" s="183">
        <f t="shared" ca="1" si="65"/>
        <v>0.34100569790581925</v>
      </c>
      <c r="BF47" s="183">
        <f t="shared" ca="1" si="66"/>
        <v>0</v>
      </c>
      <c r="BG47" s="183">
        <f t="shared" ca="1" si="67"/>
        <v>0</v>
      </c>
      <c r="BH47" s="184">
        <f t="shared" ca="1" si="68"/>
        <v>0</v>
      </c>
    </row>
    <row r="48" spans="1:60" x14ac:dyDescent="0.2">
      <c r="A48" s="188">
        <v>2031</v>
      </c>
      <c r="B48" s="664">
        <f t="shared" si="71"/>
        <v>139576.1</v>
      </c>
      <c r="C48" s="665">
        <f t="shared" si="71"/>
        <v>12921.5</v>
      </c>
      <c r="D48" s="665">
        <f t="shared" si="71"/>
        <v>19513.28</v>
      </c>
      <c r="E48" s="665">
        <f t="shared" si="71"/>
        <v>173858.51</v>
      </c>
      <c r="F48" s="665">
        <f t="shared" si="71"/>
        <v>72823.539999999994</v>
      </c>
      <c r="G48" s="666">
        <f t="shared" si="71"/>
        <v>93119.59</v>
      </c>
      <c r="H48" s="823">
        <f t="shared" si="72"/>
        <v>1</v>
      </c>
      <c r="I48" s="824">
        <f t="shared" si="72"/>
        <v>1</v>
      </c>
      <c r="J48" s="824">
        <f t="shared" si="72"/>
        <v>1</v>
      </c>
      <c r="K48" s="824">
        <f t="shared" si="72"/>
        <v>1</v>
      </c>
      <c r="L48" s="824">
        <f t="shared" si="72"/>
        <v>1</v>
      </c>
      <c r="M48" s="825">
        <f t="shared" si="72"/>
        <v>0.86613884115837192</v>
      </c>
      <c r="N48" s="147">
        <f t="shared" si="28"/>
        <v>8456.6553714631882</v>
      </c>
      <c r="O48" s="148">
        <f t="shared" si="29"/>
        <v>6624.7342668452602</v>
      </c>
      <c r="P48" s="148">
        <f t="shared" si="30"/>
        <v>6175.1803175221648</v>
      </c>
      <c r="Q48" s="148">
        <f t="shared" si="31"/>
        <v>10333.694187096666</v>
      </c>
      <c r="R48" s="148">
        <f t="shared" si="32"/>
        <v>10238.439284534285</v>
      </c>
      <c r="S48" s="150">
        <f t="shared" si="33"/>
        <v>7112.8931974337247</v>
      </c>
      <c r="T48" s="147">
        <f t="shared" si="34"/>
        <v>1831.921104617928</v>
      </c>
      <c r="U48" s="148">
        <f t="shared" si="35"/>
        <v>2281.4750539410234</v>
      </c>
      <c r="V48" s="148">
        <f t="shared" si="36"/>
        <v>-1877.0388156334775</v>
      </c>
      <c r="W48" s="148">
        <f t="shared" si="37"/>
        <v>-1781.7839130710963</v>
      </c>
      <c r="X48" s="150">
        <f t="shared" si="38"/>
        <v>1343.7621740294635</v>
      </c>
      <c r="Y48" s="151">
        <f ca="1">IF(AND(Y$22=TRUE,INDEX(CDRANGE_CLS2,MATCH($A48,$A$24:$A$67,0),MATCH(Y$20,$B$20:$G$20,0))&lt;$D$6/OPDAYS_Cls2),86,payback(C48,T48,disc_rate/12,85))</f>
        <v>8</v>
      </c>
      <c r="Z48" s="152">
        <f ca="1">IF(AND(Z$22=TRUE,INDEX(CDRANGE_CLS2,MATCH($A48,$A$24:$A$67,0),MATCH(Z$20,$B$20:$G$20,0))&lt;$D$6/OPDAYS_Cls2),86,payback(D48,U48,disc_rate/12,85))</f>
        <v>9</v>
      </c>
      <c r="AA48" s="152">
        <f>IF(AND(AA$22=TRUE,INDEX(CDRANGE_CLS2,MATCH($A48,$A$24:$A$67,0),MATCH(AA$20,$B$20:$G$20,0))&lt;$D$6/OPDAYS_Cls2),86,payback(E48,V48,disc_rate/12,85))</f>
        <v>86</v>
      </c>
      <c r="AB48" s="152">
        <f ca="1">IF(AND(AB$22=TRUE,INDEX(CDRANGE_CLS2,MATCH($A48,$A$24:$A$67,0),MATCH(AB$20,$B$20:$G$20,0))&lt;$D$6/OPDAYS_Cls2),86,payback(F48,W48,disc_rate/12,85))</f>
        <v>86</v>
      </c>
      <c r="AC48" s="153">
        <f ca="1">IF(AND(AC$22=TRUE,INDEX(CDRANGE_CLS2,MATCH($A48,$A$24:$A$67,0),MATCH(AC$20,$B$20:$G$20,0))&lt;$D$6/OPDAYS_Cls2),86,payback(G48,X48,disc_rate/12,85))</f>
        <v>86</v>
      </c>
      <c r="AD48" s="154">
        <f t="shared" si="39"/>
        <v>0</v>
      </c>
      <c r="AE48" s="155">
        <f t="shared" si="40"/>
        <v>0</v>
      </c>
      <c r="AF48" s="155">
        <f t="shared" si="41"/>
        <v>0</v>
      </c>
      <c r="AG48" s="155">
        <f t="shared" si="42"/>
        <v>0</v>
      </c>
      <c r="AH48" s="156">
        <f t="shared" si="43"/>
        <v>0</v>
      </c>
      <c r="AI48" s="157">
        <f t="shared" si="44"/>
        <v>0.44039853898894116</v>
      </c>
      <c r="AJ48" s="158">
        <f t="shared" si="45"/>
        <v>0.44039853898894116</v>
      </c>
      <c r="AK48" s="158">
        <f t="shared" si="46"/>
        <v>0.44039853898894116</v>
      </c>
      <c r="AL48" s="158">
        <f t="shared" si="47"/>
        <v>0.44039853898894116</v>
      </c>
      <c r="AM48" s="159">
        <f t="shared" si="48"/>
        <v>0.44039853898894116</v>
      </c>
      <c r="AN48" s="490">
        <f t="shared" si="60"/>
        <v>0.97647433453994759</v>
      </c>
      <c r="AO48" s="488">
        <f t="shared" si="60"/>
        <v>0.94715548568610985</v>
      </c>
      <c r="AP48" s="488">
        <f t="shared" si="60"/>
        <v>1.3434880504893498E-2</v>
      </c>
      <c r="AQ48" s="488">
        <f t="shared" si="60"/>
        <v>0.46946142410610914</v>
      </c>
      <c r="AR48" s="489">
        <f t="shared" si="60"/>
        <v>0.29042912321245451</v>
      </c>
      <c r="AS48" s="154">
        <f t="shared" ca="1" si="50"/>
        <v>0.87079999592311974</v>
      </c>
      <c r="AT48" s="155">
        <f t="shared" ca="1" si="51"/>
        <v>0.86018217360447413</v>
      </c>
      <c r="AU48" s="155">
        <f t="shared" si="52"/>
        <v>0</v>
      </c>
      <c r="AV48" s="155">
        <f t="shared" ca="1" si="53"/>
        <v>0</v>
      </c>
      <c r="AW48" s="156">
        <f t="shared" ca="1" si="54"/>
        <v>0</v>
      </c>
      <c r="AX48" s="154">
        <f t="shared" ca="1" si="55"/>
        <v>0.85031384653641739</v>
      </c>
      <c r="AY48" s="155">
        <f t="shared" ca="1" si="56"/>
        <v>0.81472626441887941</v>
      </c>
      <c r="AZ48" s="155">
        <f t="shared" si="57"/>
        <v>0</v>
      </c>
      <c r="BA48" s="155">
        <f t="shared" ca="1" si="61"/>
        <v>0</v>
      </c>
      <c r="BB48" s="156">
        <f t="shared" ca="1" si="62"/>
        <v>0</v>
      </c>
      <c r="BC48" s="154">
        <f t="shared" ca="1" si="63"/>
        <v>0.14968615346358261</v>
      </c>
      <c r="BD48" s="155">
        <f t="shared" ca="1" si="64"/>
        <v>0.43424397577829288</v>
      </c>
      <c r="BE48" s="155">
        <f t="shared" ca="1" si="65"/>
        <v>0.41606987075812452</v>
      </c>
      <c r="BF48" s="155">
        <f t="shared" ca="1" si="66"/>
        <v>0</v>
      </c>
      <c r="BG48" s="155">
        <f t="shared" ca="1" si="67"/>
        <v>0</v>
      </c>
      <c r="BH48" s="156">
        <f t="shared" ca="1" si="68"/>
        <v>0</v>
      </c>
    </row>
    <row r="49" spans="1:60" x14ac:dyDescent="0.2">
      <c r="A49" s="189">
        <v>2032</v>
      </c>
      <c r="B49" s="667">
        <f t="shared" si="71"/>
        <v>139629.1</v>
      </c>
      <c r="C49" s="668">
        <f t="shared" si="71"/>
        <v>13239.27</v>
      </c>
      <c r="D49" s="668">
        <f t="shared" si="71"/>
        <v>19730.53</v>
      </c>
      <c r="E49" s="668">
        <f t="shared" si="71"/>
        <v>157790.85</v>
      </c>
      <c r="F49" s="668">
        <f t="shared" si="71"/>
        <v>70921.97</v>
      </c>
      <c r="G49" s="669">
        <f t="shared" si="71"/>
        <v>86630.26</v>
      </c>
      <c r="H49" s="826">
        <f t="shared" si="72"/>
        <v>1</v>
      </c>
      <c r="I49" s="827">
        <f t="shared" si="72"/>
        <v>1</v>
      </c>
      <c r="J49" s="827">
        <f t="shared" si="72"/>
        <v>1</v>
      </c>
      <c r="K49" s="827">
        <f t="shared" si="72"/>
        <v>1</v>
      </c>
      <c r="L49" s="827">
        <f t="shared" si="72"/>
        <v>1</v>
      </c>
      <c r="M49" s="828">
        <f t="shared" si="72"/>
        <v>0.86523195214839388</v>
      </c>
      <c r="N49" s="161">
        <f t="shared" si="28"/>
        <v>8511.4352743208074</v>
      </c>
      <c r="O49" s="162">
        <f t="shared" si="29"/>
        <v>6521.8771302775585</v>
      </c>
      <c r="P49" s="162">
        <f t="shared" si="30"/>
        <v>6072.3872376402387</v>
      </c>
      <c r="Q49" s="162">
        <f t="shared" si="31"/>
        <v>10142.294268437305</v>
      </c>
      <c r="R49" s="162">
        <f t="shared" si="32"/>
        <v>9869.6471123728461</v>
      </c>
      <c r="S49" s="164">
        <f t="shared" si="33"/>
        <v>7016.9104942062331</v>
      </c>
      <c r="T49" s="161">
        <f t="shared" si="34"/>
        <v>1989.5581440432488</v>
      </c>
      <c r="U49" s="162">
        <f t="shared" si="35"/>
        <v>2439.0480366805687</v>
      </c>
      <c r="V49" s="162">
        <f t="shared" si="36"/>
        <v>-1630.8589941164973</v>
      </c>
      <c r="W49" s="162">
        <f t="shared" si="37"/>
        <v>-1358.2118380520387</v>
      </c>
      <c r="X49" s="164">
        <f t="shared" si="38"/>
        <v>1494.5247801145742</v>
      </c>
      <c r="Y49" s="165">
        <f ca="1">IF(AND(Y$22=TRUE,INDEX(CDRANGE_CLS2,MATCH($A49,$A$24:$A$67,0),MATCH(Y$20,$B$20:$G$20,0))&lt;$D$6/OPDAYS_Cls2),86,payback(C49,T49,disc_rate/12,85))</f>
        <v>7</v>
      </c>
      <c r="Z49" s="166">
        <f ca="1">IF(AND(Z$22=TRUE,INDEX(CDRANGE_CLS2,MATCH($A49,$A$24:$A$67,0),MATCH(Z$20,$B$20:$G$20,0))&lt;$D$6/OPDAYS_Cls2),86,payback(D49,U49,disc_rate/12,85))</f>
        <v>9</v>
      </c>
      <c r="AA49" s="166">
        <f>IF(AND(AA$22=TRUE,INDEX(CDRANGE_CLS2,MATCH($A49,$A$24:$A$67,0),MATCH(AA$20,$B$20:$G$20,0))&lt;$D$6/OPDAYS_Cls2),86,payback(E49,V49,disc_rate/12,85))</f>
        <v>86</v>
      </c>
      <c r="AB49" s="166">
        <f ca="1">IF(AND(AB$22=TRUE,INDEX(CDRANGE_CLS2,MATCH($A49,$A$24:$A$67,0),MATCH(AB$20,$B$20:$G$20,0))&lt;$D$6/OPDAYS_Cls2),86,payback(F49,W49,disc_rate/12,85))</f>
        <v>86</v>
      </c>
      <c r="AC49" s="167">
        <f ca="1">IF(AND(AC$22=TRUE,INDEX(CDRANGE_CLS2,MATCH($A49,$A$24:$A$67,0),MATCH(AC$20,$B$20:$G$20,0))&lt;$D$6/OPDAYS_Cls2),86,payback(G49,X49,disc_rate/12,85))</f>
        <v>73</v>
      </c>
      <c r="AD49" s="168">
        <f t="shared" si="39"/>
        <v>0</v>
      </c>
      <c r="AE49" s="169">
        <f t="shared" si="40"/>
        <v>0</v>
      </c>
      <c r="AF49" s="169">
        <f t="shared" si="41"/>
        <v>0</v>
      </c>
      <c r="AG49" s="169">
        <f t="shared" si="42"/>
        <v>0</v>
      </c>
      <c r="AH49" s="170">
        <f t="shared" si="43"/>
        <v>0</v>
      </c>
      <c r="AI49" s="171">
        <f t="shared" si="44"/>
        <v>0.47628706341121668</v>
      </c>
      <c r="AJ49" s="172">
        <f t="shared" si="45"/>
        <v>0.47628706341121668</v>
      </c>
      <c r="AK49" s="172">
        <f t="shared" si="46"/>
        <v>0.47628706341121668</v>
      </c>
      <c r="AL49" s="172">
        <f t="shared" si="47"/>
        <v>0.47628706341121668</v>
      </c>
      <c r="AM49" s="173">
        <f t="shared" si="48"/>
        <v>0.47628706341121668</v>
      </c>
      <c r="AN49" s="171">
        <f t="shared" si="60"/>
        <v>0.97533607844981351</v>
      </c>
      <c r="AO49" s="172">
        <f t="shared" si="60"/>
        <v>0.94604463842088848</v>
      </c>
      <c r="AP49" s="172">
        <f t="shared" si="60"/>
        <v>2.8799634619804171E-2</v>
      </c>
      <c r="AQ49" s="172">
        <f t="shared" si="60"/>
        <v>0.48838553171783272</v>
      </c>
      <c r="AR49" s="445">
        <f t="shared" si="60"/>
        <v>0.3432611387976372</v>
      </c>
      <c r="AS49" s="154">
        <f t="shared" ca="1" si="50"/>
        <v>0.94945662357669569</v>
      </c>
      <c r="AT49" s="155">
        <f t="shared" ca="1" si="51"/>
        <v>0.93027929294524792</v>
      </c>
      <c r="AU49" s="155">
        <f t="shared" si="52"/>
        <v>0</v>
      </c>
      <c r="AV49" s="155">
        <f t="shared" ca="1" si="53"/>
        <v>0</v>
      </c>
      <c r="AW49" s="156">
        <f t="shared" ca="1" si="54"/>
        <v>1.6692489939276241E-3</v>
      </c>
      <c r="AX49" s="168">
        <f t="shared" ca="1" si="55"/>
        <v>0.92603929989749512</v>
      </c>
      <c r="AY49" s="169">
        <f t="shared" ca="1" si="56"/>
        <v>0.88008573732482687</v>
      </c>
      <c r="AZ49" s="169">
        <f t="shared" si="57"/>
        <v>0</v>
      </c>
      <c r="BA49" s="155">
        <f t="shared" ca="1" si="61"/>
        <v>0</v>
      </c>
      <c r="BB49" s="156">
        <f t="shared" ca="1" si="62"/>
        <v>5.7298831059240647E-4</v>
      </c>
      <c r="BC49" s="154">
        <f t="shared" ca="1" si="63"/>
        <v>7.3960700102504773E-2</v>
      </c>
      <c r="BD49" s="155">
        <f t="shared" ca="1" si="64"/>
        <v>0.47464976041123158</v>
      </c>
      <c r="BE49" s="155">
        <f t="shared" ca="1" si="65"/>
        <v>0.45109584918135837</v>
      </c>
      <c r="BF49" s="155">
        <f t="shared" ca="1" si="66"/>
        <v>0</v>
      </c>
      <c r="BG49" s="155">
        <f t="shared" ca="1" si="67"/>
        <v>0</v>
      </c>
      <c r="BH49" s="156">
        <f t="shared" ca="1" si="68"/>
        <v>2.936903049052311E-4</v>
      </c>
    </row>
    <row r="50" spans="1:60" x14ac:dyDescent="0.2">
      <c r="A50" s="189">
        <v>2033</v>
      </c>
      <c r="B50" s="667">
        <f t="shared" si="71"/>
        <v>139682.14000000001</v>
      </c>
      <c r="C50" s="668">
        <f t="shared" si="71"/>
        <v>13428.83</v>
      </c>
      <c r="D50" s="668">
        <f t="shared" si="71"/>
        <v>19860.14</v>
      </c>
      <c r="E50" s="668">
        <f t="shared" si="71"/>
        <v>148205.31</v>
      </c>
      <c r="F50" s="668">
        <f t="shared" si="71"/>
        <v>69787.539999999994</v>
      </c>
      <c r="G50" s="669">
        <f t="shared" si="71"/>
        <v>82758.899999999994</v>
      </c>
      <c r="H50" s="826">
        <f t="shared" si="72"/>
        <v>1</v>
      </c>
      <c r="I50" s="827">
        <f t="shared" si="72"/>
        <v>1</v>
      </c>
      <c r="J50" s="827">
        <f t="shared" si="72"/>
        <v>1</v>
      </c>
      <c r="K50" s="827">
        <f t="shared" si="72"/>
        <v>1</v>
      </c>
      <c r="L50" s="827">
        <f t="shared" si="72"/>
        <v>1</v>
      </c>
      <c r="M50" s="828">
        <f t="shared" si="72"/>
        <v>0.86469092603504449</v>
      </c>
      <c r="N50" s="161">
        <f t="shared" si="28"/>
        <v>8641.7140741911262</v>
      </c>
      <c r="O50" s="162">
        <f t="shared" si="29"/>
        <v>6538.5889899997546</v>
      </c>
      <c r="P50" s="162">
        <f t="shared" si="30"/>
        <v>6083.9654523693644</v>
      </c>
      <c r="Q50" s="162">
        <f t="shared" si="31"/>
        <v>10089.252791323102</v>
      </c>
      <c r="R50" s="162">
        <f t="shared" si="32"/>
        <v>9578.854685862083</v>
      </c>
      <c r="S50" s="164">
        <f t="shared" si="33"/>
        <v>7035.0474530544252</v>
      </c>
      <c r="T50" s="161">
        <f t="shared" si="34"/>
        <v>2103.1250841913716</v>
      </c>
      <c r="U50" s="162">
        <f t="shared" si="35"/>
        <v>2557.7486218217618</v>
      </c>
      <c r="V50" s="162">
        <f t="shared" si="36"/>
        <v>-1447.5387171319762</v>
      </c>
      <c r="W50" s="162">
        <f t="shared" si="37"/>
        <v>-937.14061167095679</v>
      </c>
      <c r="X50" s="164">
        <f t="shared" si="38"/>
        <v>1606.666621136701</v>
      </c>
      <c r="Y50" s="165">
        <f ca="1">IF(AND(Y$22=TRUE,INDEX(CDRANGE_CLS2,MATCH($A50,$A$24:$A$67,0),MATCH(Y$20,$B$20:$G$20,0))&lt;$D$6/OPDAYS_Cls2),86,payback(C50,T50,disc_rate/12,85))</f>
        <v>7</v>
      </c>
      <c r="Z50" s="166">
        <f ca="1">IF(AND(Z$22=TRUE,INDEX(CDRANGE_CLS2,MATCH($A50,$A$24:$A$67,0),MATCH(Z$20,$B$20:$G$20,0))&lt;$D$6/OPDAYS_Cls2),86,payback(D50,U50,disc_rate/12,85))</f>
        <v>8</v>
      </c>
      <c r="AA50" s="166">
        <f>IF(AND(AA$22=TRUE,INDEX(CDRANGE_CLS2,MATCH($A50,$A$24:$A$67,0),MATCH(AA$20,$B$20:$G$20,0))&lt;$D$6/OPDAYS_Cls2),86,payback(E50,V50,disc_rate/12,85))</f>
        <v>86</v>
      </c>
      <c r="AB50" s="166">
        <f ca="1">IF(AND(AB$22=TRUE,INDEX(CDRANGE_CLS2,MATCH($A50,$A$24:$A$67,0),MATCH(AB$20,$B$20:$G$20,0))&lt;$D$6/OPDAYS_Cls2),86,payback(F50,W50,disc_rate/12,85))</f>
        <v>86</v>
      </c>
      <c r="AC50" s="167">
        <f ca="1">IF(AND(AC$22=TRUE,INDEX(CDRANGE_CLS2,MATCH($A50,$A$24:$A$67,0),MATCH(AC$20,$B$20:$G$20,0))&lt;$D$6/OPDAYS_Cls2),86,payback(G50,X50,disc_rate/12,85))</f>
        <v>63</v>
      </c>
      <c r="AD50" s="168">
        <f t="shared" si="39"/>
        <v>0</v>
      </c>
      <c r="AE50" s="169">
        <f t="shared" si="40"/>
        <v>0</v>
      </c>
      <c r="AF50" s="169">
        <f t="shared" si="41"/>
        <v>0</v>
      </c>
      <c r="AG50" s="169">
        <f t="shared" si="42"/>
        <v>0</v>
      </c>
      <c r="AH50" s="170">
        <f t="shared" si="43"/>
        <v>0</v>
      </c>
      <c r="AI50" s="171">
        <f t="shared" si="44"/>
        <v>0.49100689501895423</v>
      </c>
      <c r="AJ50" s="172">
        <f t="shared" si="45"/>
        <v>0.49100689501895423</v>
      </c>
      <c r="AK50" s="172">
        <f t="shared" si="46"/>
        <v>0.49100689501895423</v>
      </c>
      <c r="AL50" s="172">
        <f t="shared" si="47"/>
        <v>0.49100689501895423</v>
      </c>
      <c r="AM50" s="173">
        <f t="shared" si="48"/>
        <v>0.49100689501895423</v>
      </c>
      <c r="AN50" s="171">
        <f t="shared" si="60"/>
        <v>0.97465285792666279</v>
      </c>
      <c r="AO50" s="172">
        <f t="shared" si="60"/>
        <v>0.9453935765148137</v>
      </c>
      <c r="AP50" s="172">
        <f t="shared" si="60"/>
        <v>4.3844289998577146E-2</v>
      </c>
      <c r="AQ50" s="172">
        <f t="shared" si="60"/>
        <v>0.49988343771580102</v>
      </c>
      <c r="AR50" s="445">
        <f t="shared" si="60"/>
        <v>0.37715802186355951</v>
      </c>
      <c r="AS50" s="154">
        <f t="shared" ca="1" si="50"/>
        <v>0.97879993917675334</v>
      </c>
      <c r="AT50" s="155">
        <f t="shared" ca="1" si="51"/>
        <v>0.97086789425399456</v>
      </c>
      <c r="AU50" s="155">
        <f t="shared" si="52"/>
        <v>0</v>
      </c>
      <c r="AV50" s="155">
        <f t="shared" ca="1" si="53"/>
        <v>0</v>
      </c>
      <c r="AW50" s="156">
        <f t="shared" ca="1" si="54"/>
        <v>8.5425628365805046E-3</v>
      </c>
      <c r="AX50" s="168">
        <f t="shared" ca="1" si="55"/>
        <v>0.95399015805706633</v>
      </c>
      <c r="AY50" s="169">
        <f t="shared" ca="1" si="56"/>
        <v>0.9178522708721899</v>
      </c>
      <c r="AZ50" s="169">
        <f t="shared" si="57"/>
        <v>0</v>
      </c>
      <c r="BA50" s="155">
        <f t="shared" ca="1" si="61"/>
        <v>0</v>
      </c>
      <c r="BB50" s="156">
        <f t="shared" ca="1" si="62"/>
        <v>3.221896101089861E-3</v>
      </c>
      <c r="BC50" s="154">
        <f t="shared" ca="1" si="63"/>
        <v>4.6009841942933671E-2</v>
      </c>
      <c r="BD50" s="155">
        <f t="shared" ca="1" si="64"/>
        <v>0.48536853350618653</v>
      </c>
      <c r="BE50" s="155">
        <f t="shared" ca="1" si="65"/>
        <v>0.46698239696295574</v>
      </c>
      <c r="BF50" s="155">
        <f t="shared" ca="1" si="66"/>
        <v>0</v>
      </c>
      <c r="BG50" s="155">
        <f t="shared" ca="1" si="67"/>
        <v>0</v>
      </c>
      <c r="BH50" s="156">
        <f t="shared" ca="1" si="68"/>
        <v>1.6392275879241736E-3</v>
      </c>
    </row>
    <row r="51" spans="1:60" x14ac:dyDescent="0.2">
      <c r="A51" s="189">
        <v>2034</v>
      </c>
      <c r="B51" s="667">
        <f t="shared" si="71"/>
        <v>139735.22</v>
      </c>
      <c r="C51" s="668">
        <f t="shared" si="71"/>
        <v>13528.89</v>
      </c>
      <c r="D51" s="668">
        <f t="shared" si="71"/>
        <v>19928.55</v>
      </c>
      <c r="E51" s="668">
        <f t="shared" si="71"/>
        <v>143145.96</v>
      </c>
      <c r="F51" s="668">
        <f t="shared" si="71"/>
        <v>69188.78</v>
      </c>
      <c r="G51" s="669">
        <f t="shared" si="71"/>
        <v>80715.55</v>
      </c>
      <c r="H51" s="826">
        <f t="shared" si="72"/>
        <v>1</v>
      </c>
      <c r="I51" s="827">
        <f t="shared" si="72"/>
        <v>1</v>
      </c>
      <c r="J51" s="827">
        <f t="shared" si="72"/>
        <v>1</v>
      </c>
      <c r="K51" s="827">
        <f t="shared" si="72"/>
        <v>1</v>
      </c>
      <c r="L51" s="827">
        <f t="shared" si="72"/>
        <v>1</v>
      </c>
      <c r="M51" s="828">
        <f t="shared" si="72"/>
        <v>0.86440536694123915</v>
      </c>
      <c r="N51" s="161">
        <f t="shared" si="28"/>
        <v>8704.7374159062365</v>
      </c>
      <c r="O51" s="162">
        <f t="shared" si="29"/>
        <v>6545.3610512623345</v>
      </c>
      <c r="P51" s="162">
        <f t="shared" si="30"/>
        <v>6088.2073506209954</v>
      </c>
      <c r="Q51" s="162">
        <f t="shared" si="31"/>
        <v>10055.150445582516</v>
      </c>
      <c r="R51" s="162">
        <f t="shared" si="32"/>
        <v>9338.364757860445</v>
      </c>
      <c r="S51" s="164">
        <f t="shared" si="33"/>
        <v>7041.9141117285199</v>
      </c>
      <c r="T51" s="161">
        <f t="shared" si="34"/>
        <v>2159.376364643902</v>
      </c>
      <c r="U51" s="162">
        <f t="shared" si="35"/>
        <v>2616.5300652852411</v>
      </c>
      <c r="V51" s="162">
        <f t="shared" si="36"/>
        <v>-1350.4130296762796</v>
      </c>
      <c r="W51" s="162">
        <f t="shared" si="37"/>
        <v>-633.62734195420853</v>
      </c>
      <c r="X51" s="164">
        <f t="shared" si="38"/>
        <v>1662.8233041777166</v>
      </c>
      <c r="Y51" s="165">
        <f ca="1">IF(AND(Y$22=TRUE,INDEX(CDRANGE_CLS2,MATCH($A51,$A$24:$A$67,0),MATCH(Y$20,$B$20:$G$20,0))&lt;$D$6/OPDAYS_Cls2),86,payback(C51,T51,disc_rate/12,85))</f>
        <v>7</v>
      </c>
      <c r="Z51" s="166">
        <f ca="1">IF(AND(Z$22=TRUE,INDEX(CDRANGE_CLS2,MATCH($A51,$A$24:$A$67,0),MATCH(Z$20,$B$20:$G$20,0))&lt;$D$6/OPDAYS_Cls2),86,payback(D51,U51,disc_rate/12,85))</f>
        <v>8</v>
      </c>
      <c r="AA51" s="166">
        <f>IF(AND(AA$22=TRUE,INDEX(CDRANGE_CLS2,MATCH($A51,$A$24:$A$67,0),MATCH(AA$20,$B$20:$G$20,0))&lt;$D$6/OPDAYS_Cls2),86,payback(E51,V51,disc_rate/12,85))</f>
        <v>86</v>
      </c>
      <c r="AB51" s="166">
        <f ca="1">IF(AND(AB$22=TRUE,INDEX(CDRANGE_CLS2,MATCH($A51,$A$24:$A$67,0),MATCH(AB$20,$B$20:$G$20,0))&lt;$D$6/OPDAYS_Cls2),86,payback(F51,W51,disc_rate/12,85))</f>
        <v>86</v>
      </c>
      <c r="AC51" s="167">
        <f ca="1">IF(AND(AC$22=TRUE,INDEX(CDRANGE_CLS2,MATCH($A51,$A$24:$A$67,0),MATCH(AC$20,$B$20:$G$20,0))&lt;$D$6/OPDAYS_Cls2),86,payback(G51,X51,disc_rate/12,85))</f>
        <v>59</v>
      </c>
      <c r="AD51" s="168">
        <f t="shared" si="39"/>
        <v>0</v>
      </c>
      <c r="AE51" s="169">
        <f t="shared" si="40"/>
        <v>0</v>
      </c>
      <c r="AF51" s="169">
        <f t="shared" si="41"/>
        <v>0</v>
      </c>
      <c r="AG51" s="169">
        <f t="shared" si="42"/>
        <v>0</v>
      </c>
      <c r="AH51" s="170">
        <f t="shared" si="43"/>
        <v>0</v>
      </c>
      <c r="AI51" s="171">
        <f t="shared" si="44"/>
        <v>0.49665357453785763</v>
      </c>
      <c r="AJ51" s="172">
        <f t="shared" si="45"/>
        <v>0.49665357453785763</v>
      </c>
      <c r="AK51" s="172">
        <f t="shared" si="46"/>
        <v>0.49665357453785763</v>
      </c>
      <c r="AL51" s="172">
        <f t="shared" si="47"/>
        <v>0.49665357453785763</v>
      </c>
      <c r="AM51" s="173">
        <f t="shared" si="48"/>
        <v>0.49665357453785763</v>
      </c>
      <c r="AN51" s="171">
        <f t="shared" si="60"/>
        <v>0.97429792294150308</v>
      </c>
      <c r="AO51" s="172">
        <f t="shared" si="60"/>
        <v>0.945067875454632</v>
      </c>
      <c r="AP51" s="172">
        <f t="shared" si="60"/>
        <v>5.4202079156997485E-2</v>
      </c>
      <c r="AQ51" s="172">
        <f t="shared" si="60"/>
        <v>0.50610271874523827</v>
      </c>
      <c r="AR51" s="445">
        <f t="shared" si="60"/>
        <v>0.39580636994776097</v>
      </c>
      <c r="AS51" s="154">
        <f t="shared" ca="1" si="50"/>
        <v>0.99005633827363348</v>
      </c>
      <c r="AT51" s="155">
        <f t="shared" ca="1" si="51"/>
        <v>0.98203307321514388</v>
      </c>
      <c r="AU51" s="155">
        <f t="shared" si="52"/>
        <v>0</v>
      </c>
      <c r="AV51" s="155">
        <f t="shared" ca="1" si="53"/>
        <v>0</v>
      </c>
      <c r="AW51" s="156">
        <f t="shared" ca="1" si="54"/>
        <v>1.5470010200162638E-2</v>
      </c>
      <c r="AX51" s="168">
        <f t="shared" ca="1" si="55"/>
        <v>0.96460983397507127</v>
      </c>
      <c r="AY51" s="169">
        <f t="shared" ca="1" si="56"/>
        <v>0.92808791012961911</v>
      </c>
      <c r="AZ51" s="169">
        <f t="shared" si="57"/>
        <v>0</v>
      </c>
      <c r="BA51" s="155">
        <f t="shared" ca="1" si="61"/>
        <v>0</v>
      </c>
      <c r="BB51" s="156">
        <f t="shared" ca="1" si="62"/>
        <v>6.1231285803812086E-3</v>
      </c>
      <c r="BC51" s="154">
        <f t="shared" ca="1" si="63"/>
        <v>3.5390166024928726E-2</v>
      </c>
      <c r="BD51" s="155">
        <f t="shared" ca="1" si="64"/>
        <v>0.49002628167113993</v>
      </c>
      <c r="BE51" s="155">
        <f t="shared" ca="1" si="65"/>
        <v>0.47147297450889303</v>
      </c>
      <c r="BF51" s="155">
        <f t="shared" ca="1" si="66"/>
        <v>0</v>
      </c>
      <c r="BG51" s="155">
        <f t="shared" ca="1" si="67"/>
        <v>0</v>
      </c>
      <c r="BH51" s="156">
        <f t="shared" ca="1" si="68"/>
        <v>3.1105777950383526E-3</v>
      </c>
    </row>
    <row r="52" spans="1:60" ht="13.5" thickBot="1" x14ac:dyDescent="0.25">
      <c r="A52" s="174">
        <v>2035</v>
      </c>
      <c r="B52" s="670">
        <f t="shared" si="71"/>
        <v>139788.32999999999</v>
      </c>
      <c r="C52" s="671">
        <f t="shared" si="71"/>
        <v>13622.66</v>
      </c>
      <c r="D52" s="671">
        <f t="shared" si="71"/>
        <v>19992.66</v>
      </c>
      <c r="E52" s="671">
        <f t="shared" si="71"/>
        <v>138404.66</v>
      </c>
      <c r="F52" s="671">
        <f t="shared" si="71"/>
        <v>68627.66</v>
      </c>
      <c r="G52" s="672">
        <f t="shared" si="71"/>
        <v>78800.66</v>
      </c>
      <c r="H52" s="820">
        <f t="shared" si="72"/>
        <v>1</v>
      </c>
      <c r="I52" s="821">
        <f t="shared" si="72"/>
        <v>1</v>
      </c>
      <c r="J52" s="821">
        <f t="shared" si="72"/>
        <v>1</v>
      </c>
      <c r="K52" s="821">
        <f t="shared" si="72"/>
        <v>1</v>
      </c>
      <c r="L52" s="821">
        <f t="shared" si="72"/>
        <v>1</v>
      </c>
      <c r="M52" s="822">
        <f t="shared" si="72"/>
        <v>0.86413775893201306</v>
      </c>
      <c r="N52" s="175">
        <f t="shared" si="28"/>
        <v>8775.9685728176282</v>
      </c>
      <c r="O52" s="176">
        <f t="shared" si="29"/>
        <v>6561.1058971102275</v>
      </c>
      <c r="P52" s="176">
        <f t="shared" si="30"/>
        <v>6100.9452387060674</v>
      </c>
      <c r="Q52" s="176">
        <f t="shared" si="31"/>
        <v>9910.7215025038076</v>
      </c>
      <c r="R52" s="176">
        <f t="shared" si="32"/>
        <v>9103.4745015064109</v>
      </c>
      <c r="S52" s="178">
        <f t="shared" si="33"/>
        <v>7041.2018676102107</v>
      </c>
      <c r="T52" s="175">
        <f t="shared" si="34"/>
        <v>2214.8626757074007</v>
      </c>
      <c r="U52" s="176">
        <f t="shared" si="35"/>
        <v>2675.0233341115609</v>
      </c>
      <c r="V52" s="176">
        <f t="shared" si="36"/>
        <v>-1134.7529296861794</v>
      </c>
      <c r="W52" s="176">
        <f t="shared" si="37"/>
        <v>-327.50592868878266</v>
      </c>
      <c r="X52" s="178">
        <f t="shared" si="38"/>
        <v>1734.7667052074175</v>
      </c>
      <c r="Y52" s="179">
        <f ca="1">IF(AND(Y$22=TRUE,INDEX(CDRANGE_CLS2,MATCH($A52,$A$24:$A$67,0),MATCH(Y$20,$B$20:$G$20,0))&lt;$D$6/OPDAYS_Cls2),86,payback(C52,T52,disc_rate/12,85))</f>
        <v>7</v>
      </c>
      <c r="Z52" s="180">
        <f ca="1">IF(AND(Z$22=TRUE,INDEX(CDRANGE_CLS2,MATCH($A52,$A$24:$A$67,0),MATCH(Z$20,$B$20:$G$20,0))&lt;$D$6/OPDAYS_Cls2),86,payback(D52,U52,disc_rate/12,85))</f>
        <v>8</v>
      </c>
      <c r="AA52" s="180">
        <f>IF(AND(AA$22=TRUE,INDEX(CDRANGE_CLS2,MATCH($A52,$A$24:$A$67,0),MATCH(AA$20,$B$20:$G$20,0))&lt;$D$6/OPDAYS_Cls2),86,payback(E52,V52,disc_rate/12,85))</f>
        <v>86</v>
      </c>
      <c r="AB52" s="180">
        <f ca="1">IF(AND(AB$22=TRUE,INDEX(CDRANGE_CLS2,MATCH($A52,$A$24:$A$67,0),MATCH(AB$20,$B$20:$G$20,0))&lt;$D$6/OPDAYS_Cls2),86,payback(F52,W52,disc_rate/12,85))</f>
        <v>86</v>
      </c>
      <c r="AC52" s="181">
        <f ca="1">IF(AND(AC$22=TRUE,INDEX(CDRANGE_CLS2,MATCH($A52,$A$24:$A$67,0),MATCH(AC$20,$B$20:$G$20,0))&lt;$D$6/OPDAYS_Cls2),86,payback(G52,X52,disc_rate/12,85))</f>
        <v>54</v>
      </c>
      <c r="AD52" s="182">
        <f t="shared" si="39"/>
        <v>0</v>
      </c>
      <c r="AE52" s="183">
        <f t="shared" si="40"/>
        <v>0</v>
      </c>
      <c r="AF52" s="183">
        <f t="shared" si="41"/>
        <v>0</v>
      </c>
      <c r="AG52" s="183">
        <f t="shared" si="42"/>
        <v>0</v>
      </c>
      <c r="AH52" s="184">
        <f t="shared" si="43"/>
        <v>0</v>
      </c>
      <c r="AI52" s="185">
        <f t="shared" si="44"/>
        <v>0.49876368842168267</v>
      </c>
      <c r="AJ52" s="186">
        <f t="shared" si="45"/>
        <v>0.49876368842168267</v>
      </c>
      <c r="AK52" s="186">
        <f t="shared" si="46"/>
        <v>0.49876368842168267</v>
      </c>
      <c r="AL52" s="186">
        <f t="shared" si="47"/>
        <v>0.49876368842168267</v>
      </c>
      <c r="AM52" s="187">
        <f t="shared" si="48"/>
        <v>0.49876368842168267</v>
      </c>
      <c r="AN52" s="185">
        <f t="shared" si="60"/>
        <v>0.97396463397517097</v>
      </c>
      <c r="AO52" s="186">
        <f t="shared" si="60"/>
        <v>0.94476465578878033</v>
      </c>
      <c r="AP52" s="186">
        <f t="shared" si="60"/>
        <v>6.5673534777000331E-2</v>
      </c>
      <c r="AQ52" s="186">
        <f t="shared" si="60"/>
        <v>0.51196175997365634</v>
      </c>
      <c r="AR52" s="446">
        <f t="shared" si="60"/>
        <v>0.41366261706534335</v>
      </c>
      <c r="AS52" s="677">
        <f t="shared" ca="1" si="50"/>
        <v>0.99426275444028267</v>
      </c>
      <c r="AT52" s="678">
        <f t="shared" ca="1" si="51"/>
        <v>0.98620540122888034</v>
      </c>
      <c r="AU52" s="678">
        <f t="shared" si="52"/>
        <v>0</v>
      </c>
      <c r="AV52" s="678">
        <f t="shared" ca="1" si="53"/>
        <v>0</v>
      </c>
      <c r="AW52" s="679">
        <f t="shared" ca="1" si="54"/>
        <v>3.0663632420007102E-2</v>
      </c>
      <c r="AX52" s="182">
        <f t="shared" ca="1" si="55"/>
        <v>0.96837675970357517</v>
      </c>
      <c r="AY52" s="183">
        <f t="shared" ca="1" si="56"/>
        <v>0.93173200642903908</v>
      </c>
      <c r="AZ52" s="183">
        <f t="shared" si="57"/>
        <v>0</v>
      </c>
      <c r="BA52" s="183">
        <f t="shared" ca="1" si="61"/>
        <v>0</v>
      </c>
      <c r="BB52" s="184">
        <f t="shared" ca="1" si="62"/>
        <v>1.2684398435589845E-2</v>
      </c>
      <c r="BC52" s="182">
        <f t="shared" ca="1" si="63"/>
        <v>3.1623240296424937E-2</v>
      </c>
      <c r="BD52" s="183">
        <f t="shared" ca="1" si="64"/>
        <v>0.49025350262880368</v>
      </c>
      <c r="BE52" s="183">
        <f t="shared" ca="1" si="65"/>
        <v>0.4717016131232058</v>
      </c>
      <c r="BF52" s="183">
        <f t="shared" ca="1" si="66"/>
        <v>0</v>
      </c>
      <c r="BG52" s="183">
        <f t="shared" ca="1" si="67"/>
        <v>0</v>
      </c>
      <c r="BH52" s="184">
        <f t="shared" ca="1" si="68"/>
        <v>6.4216439515656842E-3</v>
      </c>
    </row>
    <row r="53" spans="1:60" x14ac:dyDescent="0.2">
      <c r="A53" s="188">
        <v>2036</v>
      </c>
      <c r="B53" s="673">
        <f t="shared" si="71"/>
        <v>139788.32999999999</v>
      </c>
      <c r="C53" s="674">
        <f t="shared" si="71"/>
        <v>13820.76</v>
      </c>
      <c r="D53" s="674">
        <f t="shared" si="71"/>
        <v>20106.96</v>
      </c>
      <c r="E53" s="674">
        <f t="shared" si="71"/>
        <v>134314.57</v>
      </c>
      <c r="F53" s="674">
        <f t="shared" si="71"/>
        <v>67243.92</v>
      </c>
      <c r="G53" s="675">
        <f t="shared" si="71"/>
        <v>77080.460000000006</v>
      </c>
      <c r="H53" s="823">
        <f t="shared" si="72"/>
        <v>1</v>
      </c>
      <c r="I53" s="824">
        <f t="shared" si="72"/>
        <v>1</v>
      </c>
      <c r="J53" s="824">
        <f t="shared" si="72"/>
        <v>1</v>
      </c>
      <c r="K53" s="824">
        <f t="shared" si="72"/>
        <v>1</v>
      </c>
      <c r="L53" s="824">
        <f t="shared" si="72"/>
        <v>1</v>
      </c>
      <c r="M53" s="825">
        <f t="shared" si="72"/>
        <v>0.86187454649523032</v>
      </c>
      <c r="N53" s="147">
        <f t="shared" si="28"/>
        <v>8864.5705808475886</v>
      </c>
      <c r="O53" s="148">
        <f t="shared" si="29"/>
        <v>6567.545797488915</v>
      </c>
      <c r="P53" s="148">
        <f t="shared" si="30"/>
        <v>6077.2049953436253</v>
      </c>
      <c r="Q53" s="148">
        <f t="shared" si="31"/>
        <v>9701.1571341518593</v>
      </c>
      <c r="R53" s="148">
        <f t="shared" si="32"/>
        <v>8776.0231874829024</v>
      </c>
      <c r="S53" s="150">
        <f t="shared" si="33"/>
        <v>6988.6403219181775</v>
      </c>
      <c r="T53" s="147">
        <f t="shared" si="34"/>
        <v>2297.0247833586736</v>
      </c>
      <c r="U53" s="148">
        <f t="shared" si="35"/>
        <v>2787.3655855039633</v>
      </c>
      <c r="V53" s="148">
        <f t="shared" si="36"/>
        <v>-836.58655330427064</v>
      </c>
      <c r="W53" s="148">
        <f t="shared" si="37"/>
        <v>88.547393364686286</v>
      </c>
      <c r="X53" s="150">
        <f t="shared" si="38"/>
        <v>1875.9302589294111</v>
      </c>
      <c r="Y53" s="151">
        <f ca="1">IF(AND(Y$22=TRUE,INDEX(CDRANGE_CLS2,MATCH($A53,$A$24:$A$67,0),MATCH(Y$20,$B$20:$G$20,0))&lt;$D$6/OPDAYS_Cls2),86,payback(C53,T53,disc_rate/12,85))</f>
        <v>7</v>
      </c>
      <c r="Z53" s="152">
        <f ca="1">IF(AND(Z$22=TRUE,INDEX(CDRANGE_CLS2,MATCH($A53,$A$24:$A$67,0),MATCH(Z$20,$B$20:$G$20,0))&lt;$D$6/OPDAYS_Cls2),86,payback(D53,U53,disc_rate/12,85))</f>
        <v>8</v>
      </c>
      <c r="AA53" s="152">
        <f>IF(AND(AA$22=TRUE,INDEX(CDRANGE_CLS2,MATCH($A53,$A$24:$A$67,0),MATCH(AA$20,$B$20:$G$20,0))&lt;$D$6/OPDAYS_Cls2),86,payback(E53,V53,disc_rate/12,85))</f>
        <v>86</v>
      </c>
      <c r="AB53" s="152">
        <f ca="1">IF(AND(AB$22=TRUE,INDEX(CDRANGE_CLS2,MATCH($A53,$A$24:$A$67,0),MATCH(AB$20,$B$20:$G$20,0))&lt;$D$6/OPDAYS_Cls2),86,payback(F53,W53,disc_rate/12,85))</f>
        <v>86</v>
      </c>
      <c r="AC53" s="153">
        <f ca="1">IF(AND(AC$22=TRUE,INDEX(CDRANGE_CLS2,MATCH($A53,$A$24:$A$67,0),MATCH(AC$20,$B$20:$G$20,0))&lt;$D$6/OPDAYS_Cls2),86,payback(G53,X53,disc_rate/12,85))</f>
        <v>48</v>
      </c>
      <c r="AD53" s="154">
        <f t="shared" si="39"/>
        <v>0</v>
      </c>
      <c r="AE53" s="155">
        <f t="shared" si="40"/>
        <v>0</v>
      </c>
      <c r="AF53" s="155">
        <f t="shared" si="41"/>
        <v>0</v>
      </c>
      <c r="AG53" s="155">
        <f t="shared" si="42"/>
        <v>0</v>
      </c>
      <c r="AH53" s="156">
        <f t="shared" si="43"/>
        <v>0</v>
      </c>
      <c r="AI53" s="157">
        <f t="shared" si="44"/>
        <v>0.4995444744027997</v>
      </c>
      <c r="AJ53" s="158">
        <f t="shared" si="45"/>
        <v>0.4995444744027997</v>
      </c>
      <c r="AK53" s="158">
        <f t="shared" si="46"/>
        <v>0.4995444744027997</v>
      </c>
      <c r="AL53" s="158">
        <f t="shared" si="47"/>
        <v>0.4995444744027997</v>
      </c>
      <c r="AM53" s="159">
        <f t="shared" si="48"/>
        <v>0.4995444744027997</v>
      </c>
      <c r="AN53" s="157">
        <f t="shared" si="60"/>
        <v>0.97321222536586649</v>
      </c>
      <c r="AO53" s="158">
        <f t="shared" si="60"/>
        <v>0.94414930279404852</v>
      </c>
      <c r="AP53" s="158">
        <f t="shared" si="60"/>
        <v>7.6958007462646361E-2</v>
      </c>
      <c r="AQ53" s="158">
        <f t="shared" si="60"/>
        <v>0.52582908764560021</v>
      </c>
      <c r="AR53" s="458">
        <f t="shared" si="60"/>
        <v>0.4297349113226463</v>
      </c>
      <c r="AS53" s="484">
        <f t="shared" ca="1" si="50"/>
        <v>0.99581921582316801</v>
      </c>
      <c r="AT53" s="485">
        <f t="shared" ca="1" si="51"/>
        <v>0.98774924928690178</v>
      </c>
      <c r="AU53" s="485">
        <f t="shared" si="52"/>
        <v>0</v>
      </c>
      <c r="AV53" s="485">
        <f t="shared" ca="1" si="53"/>
        <v>0</v>
      </c>
      <c r="AW53" s="486">
        <f t="shared" ca="1" si="54"/>
        <v>6.4626391887862858E-2</v>
      </c>
      <c r="AX53" s="154">
        <f t="shared" ca="1" si="55"/>
        <v>0.96914343509335743</v>
      </c>
      <c r="AY53" s="155">
        <f t="shared" ca="1" si="56"/>
        <v>0.93258276504957316</v>
      </c>
      <c r="AZ53" s="155">
        <f t="shared" si="57"/>
        <v>0</v>
      </c>
      <c r="BA53" s="155">
        <f t="shared" ca="1" si="61"/>
        <v>0</v>
      </c>
      <c r="BB53" s="156">
        <f t="shared" ca="1" si="62"/>
        <v>2.7772216787033333E-2</v>
      </c>
      <c r="BC53" s="154">
        <f t="shared" ca="1" si="63"/>
        <v>3.0856564906642681E-2</v>
      </c>
      <c r="BD53" s="155">
        <f t="shared" ca="1" si="64"/>
        <v>0.48677883824283269</v>
      </c>
      <c r="BE53" s="155">
        <f t="shared" ca="1" si="65"/>
        <v>0.46841524019856751</v>
      </c>
      <c r="BF53" s="155">
        <f t="shared" ca="1" si="66"/>
        <v>0</v>
      </c>
      <c r="BG53" s="155">
        <f t="shared" ca="1" si="67"/>
        <v>0</v>
      </c>
      <c r="BH53" s="156">
        <f t="shared" ca="1" si="68"/>
        <v>1.3949356651957208E-2</v>
      </c>
    </row>
    <row r="54" spans="1:60" x14ac:dyDescent="0.2">
      <c r="A54" s="189">
        <v>2037</v>
      </c>
      <c r="B54" s="667">
        <f t="shared" ref="B54:G67" si="73">ROUND(INDEX(COST_Cls2,$A54-($A$24-1),MATCH(B$20,TECHOPTS_Cls2,0)),2)</f>
        <v>139788.32999999999</v>
      </c>
      <c r="C54" s="668">
        <f t="shared" si="73"/>
        <v>13941.55</v>
      </c>
      <c r="D54" s="668">
        <f t="shared" si="73"/>
        <v>20176.66</v>
      </c>
      <c r="E54" s="668">
        <f t="shared" si="73"/>
        <v>131820.68</v>
      </c>
      <c r="F54" s="668">
        <f t="shared" si="73"/>
        <v>66400.2</v>
      </c>
      <c r="G54" s="669">
        <f t="shared" si="73"/>
        <v>76031.58</v>
      </c>
      <c r="H54" s="826">
        <f t="shared" ref="H54:M67" si="74">IF(H$21="Single-fuel",1,1-MIN(INDEX(CDRANGE_CLS2,$A54-($A$24-1),MATCH(H$20,TECHOPTS_Cls2,0))*OPDAYS_Cls2/$D$6,1))</f>
        <v>1</v>
      </c>
      <c r="I54" s="827">
        <f t="shared" si="74"/>
        <v>1</v>
      </c>
      <c r="J54" s="827">
        <f t="shared" si="74"/>
        <v>1</v>
      </c>
      <c r="K54" s="827">
        <f t="shared" si="74"/>
        <v>1</v>
      </c>
      <c r="L54" s="827">
        <f t="shared" si="74"/>
        <v>1</v>
      </c>
      <c r="M54" s="828">
        <f t="shared" si="74"/>
        <v>0.86049457130951712</v>
      </c>
      <c r="N54" s="161">
        <f t="shared" si="28"/>
        <v>8924.2992758282526</v>
      </c>
      <c r="O54" s="162">
        <f t="shared" si="29"/>
        <v>6575.7677104897502</v>
      </c>
      <c r="P54" s="162">
        <f t="shared" si="30"/>
        <v>6067.0664428439113</v>
      </c>
      <c r="Q54" s="162">
        <f t="shared" si="31"/>
        <v>9566.8814107034941</v>
      </c>
      <c r="R54" s="162">
        <f t="shared" si="32"/>
        <v>8509.6545955800211</v>
      </c>
      <c r="S54" s="164">
        <f t="shared" si="33"/>
        <v>6959.4995465054644</v>
      </c>
      <c r="T54" s="161">
        <f t="shared" si="34"/>
        <v>2348.5315653385023</v>
      </c>
      <c r="U54" s="162">
        <f t="shared" si="35"/>
        <v>2857.2328329843413</v>
      </c>
      <c r="V54" s="162">
        <f t="shared" si="36"/>
        <v>-642.58213487524154</v>
      </c>
      <c r="W54" s="162">
        <f t="shared" si="37"/>
        <v>414.64468024823145</v>
      </c>
      <c r="X54" s="164">
        <f t="shared" si="38"/>
        <v>1964.7997293227882</v>
      </c>
      <c r="Y54" s="165">
        <f ca="1">IF(AND(Y$22=TRUE,INDEX(CDRANGE_CLS2,MATCH($A54,$A$24:$A$67,0),MATCH(Y$20,$B$20:$G$20,0))&lt;$D$6/OPDAYS_Cls2),86,payback(C54,T54,disc_rate/12,85))</f>
        <v>7</v>
      </c>
      <c r="Z54" s="166">
        <f ca="1">IF(AND(Z$22=TRUE,INDEX(CDRANGE_CLS2,MATCH($A54,$A$24:$A$67,0),MATCH(Z$20,$B$20:$G$20,0))&lt;$D$6/OPDAYS_Cls2),86,payback(D54,U54,disc_rate/12,85))</f>
        <v>8</v>
      </c>
      <c r="AA54" s="166">
        <f>IF(AND(AA$22=TRUE,INDEX(CDRANGE_CLS2,MATCH($A54,$A$24:$A$67,0),MATCH(AA$20,$B$20:$G$20,0))&lt;$D$6/OPDAYS_Cls2),86,payback(E54,V54,disc_rate/12,85))</f>
        <v>86</v>
      </c>
      <c r="AB54" s="166">
        <f ca="1">IF(AND(AB$22=TRUE,INDEX(CDRANGE_CLS2,MATCH($A54,$A$24:$A$67,0),MATCH(AB$20,$B$20:$G$20,0))&lt;$D$6/OPDAYS_Cls2),86,payback(F54,W54,disc_rate/12,85))</f>
        <v>86</v>
      </c>
      <c r="AC54" s="167">
        <f ca="1">IF(AND(AC$22=TRUE,INDEX(CDRANGE_CLS2,MATCH($A54,$A$24:$A$67,0),MATCH(AC$20,$B$20:$G$20,0))&lt;$D$6/OPDAYS_Cls2),86,payback(G54,X54,disc_rate/12,85))</f>
        <v>45</v>
      </c>
      <c r="AD54" s="168">
        <f t="shared" si="39"/>
        <v>0</v>
      </c>
      <c r="AE54" s="169">
        <f t="shared" si="40"/>
        <v>0</v>
      </c>
      <c r="AF54" s="169">
        <f t="shared" si="41"/>
        <v>0</v>
      </c>
      <c r="AG54" s="169">
        <f t="shared" si="42"/>
        <v>0</v>
      </c>
      <c r="AH54" s="170">
        <f t="shared" si="43"/>
        <v>0</v>
      </c>
      <c r="AI54" s="171">
        <f t="shared" si="44"/>
        <v>0.49983232493476681</v>
      </c>
      <c r="AJ54" s="172">
        <f t="shared" si="45"/>
        <v>0.49983232493476681</v>
      </c>
      <c r="AK54" s="172">
        <f t="shared" si="46"/>
        <v>0.49983232493476681</v>
      </c>
      <c r="AL54" s="172">
        <f t="shared" si="47"/>
        <v>0.49983232493476681</v>
      </c>
      <c r="AM54" s="173">
        <f t="shared" si="48"/>
        <v>0.49983232493476681</v>
      </c>
      <c r="AN54" s="171">
        <f t="shared" si="60"/>
        <v>0.9727484087602114</v>
      </c>
      <c r="AO54" s="172">
        <f t="shared" si="60"/>
        <v>0.94377253745379253</v>
      </c>
      <c r="AP54" s="172">
        <f t="shared" si="60"/>
        <v>8.457244412152265E-2</v>
      </c>
      <c r="AQ54" s="172">
        <f t="shared" si="60"/>
        <v>0.53432546424543559</v>
      </c>
      <c r="AR54" s="445">
        <f t="shared" si="60"/>
        <v>0.43965825837410843</v>
      </c>
      <c r="AS54" s="154">
        <f t="shared" ca="1" si="50"/>
        <v>0.99639303278182911</v>
      </c>
      <c r="AT54" s="155">
        <f t="shared" ca="1" si="51"/>
        <v>0.98831841612074023</v>
      </c>
      <c r="AU54" s="155">
        <f t="shared" si="52"/>
        <v>0</v>
      </c>
      <c r="AV54" s="155">
        <f t="shared" ca="1" si="53"/>
        <v>0</v>
      </c>
      <c r="AW54" s="156">
        <f t="shared" ca="1" si="54"/>
        <v>9.1026273005176184E-2</v>
      </c>
      <c r="AX54" s="168">
        <f t="shared" ca="1" si="55"/>
        <v>0.96923973713828537</v>
      </c>
      <c r="AY54" s="169">
        <f t="shared" ca="1" si="56"/>
        <v>0.9327477793945842</v>
      </c>
      <c r="AZ54" s="169">
        <f t="shared" si="57"/>
        <v>0</v>
      </c>
      <c r="BA54" s="155">
        <f t="shared" ca="1" si="61"/>
        <v>0</v>
      </c>
      <c r="BB54" s="156">
        <f t="shared" ca="1" si="62"/>
        <v>4.0020452655741882E-2</v>
      </c>
      <c r="BC54" s="154">
        <f t="shared" ca="1" si="63"/>
        <v>3.0760262861714627E-2</v>
      </c>
      <c r="BD54" s="155">
        <f t="shared" ca="1" si="64"/>
        <v>0.48373934759927534</v>
      </c>
      <c r="BE54" s="155">
        <f t="shared" ca="1" si="65"/>
        <v>0.46552652041610781</v>
      </c>
      <c r="BF54" s="155">
        <f t="shared" ca="1" si="66"/>
        <v>0</v>
      </c>
      <c r="BG54" s="155">
        <f t="shared" ca="1" si="67"/>
        <v>0</v>
      </c>
      <c r="BH54" s="156">
        <f t="shared" ca="1" si="68"/>
        <v>1.9973869122902221E-2</v>
      </c>
    </row>
    <row r="55" spans="1:60" x14ac:dyDescent="0.2">
      <c r="A55" s="189">
        <v>2038</v>
      </c>
      <c r="B55" s="667">
        <f t="shared" si="73"/>
        <v>139788.32999999999</v>
      </c>
      <c r="C55" s="668">
        <f t="shared" si="73"/>
        <v>14128.71</v>
      </c>
      <c r="D55" s="668">
        <f t="shared" si="73"/>
        <v>20284.650000000001</v>
      </c>
      <c r="E55" s="668">
        <f t="shared" si="73"/>
        <v>127956.77</v>
      </c>
      <c r="F55" s="668">
        <f t="shared" si="73"/>
        <v>65092.99</v>
      </c>
      <c r="G55" s="669">
        <f t="shared" si="73"/>
        <v>74406.509999999995</v>
      </c>
      <c r="H55" s="826">
        <f t="shared" si="74"/>
        <v>1</v>
      </c>
      <c r="I55" s="827">
        <f t="shared" si="74"/>
        <v>1</v>
      </c>
      <c r="J55" s="827">
        <f t="shared" si="74"/>
        <v>1</v>
      </c>
      <c r="K55" s="827">
        <f t="shared" si="74"/>
        <v>1</v>
      </c>
      <c r="L55" s="827">
        <f t="shared" si="74"/>
        <v>1</v>
      </c>
      <c r="M55" s="828">
        <f t="shared" si="74"/>
        <v>0.85835650819951159</v>
      </c>
      <c r="N55" s="161">
        <f t="shared" si="28"/>
        <v>8999.2086304907534</v>
      </c>
      <c r="O55" s="162">
        <f t="shared" si="29"/>
        <v>6575.2512832250986</v>
      </c>
      <c r="P55" s="162">
        <f t="shared" si="30"/>
        <v>6039.6780582143128</v>
      </c>
      <c r="Q55" s="162">
        <f t="shared" si="31"/>
        <v>9369.1409114699763</v>
      </c>
      <c r="R55" s="162">
        <f t="shared" si="32"/>
        <v>8206.1716241433278</v>
      </c>
      <c r="S55" s="164">
        <f t="shared" si="33"/>
        <v>6904.6157096102861</v>
      </c>
      <c r="T55" s="161">
        <f t="shared" si="34"/>
        <v>2423.9573472656548</v>
      </c>
      <c r="U55" s="162">
        <f t="shared" si="35"/>
        <v>2959.5305722764406</v>
      </c>
      <c r="V55" s="162">
        <f t="shared" si="36"/>
        <v>-369.93228097922292</v>
      </c>
      <c r="W55" s="162">
        <f t="shared" si="37"/>
        <v>793.03700634742563</v>
      </c>
      <c r="X55" s="164">
        <f t="shared" si="38"/>
        <v>2094.5929208804673</v>
      </c>
      <c r="Y55" s="165">
        <f ca="1">IF(AND(Y$22=TRUE,INDEX(CDRANGE_CLS2,MATCH($A55,$A$24:$A$67,0),MATCH(Y$20,$B$20:$G$20,0))&lt;$D$6/OPDAYS_Cls2),86,payback(C55,T55,disc_rate/12,85))</f>
        <v>6</v>
      </c>
      <c r="Z55" s="166">
        <f ca="1">IF(AND(Z$22=TRUE,INDEX(CDRANGE_CLS2,MATCH($A55,$A$24:$A$67,0),MATCH(Z$20,$B$20:$G$20,0))&lt;$D$6/OPDAYS_Cls2),86,payback(D55,U55,disc_rate/12,85))</f>
        <v>8</v>
      </c>
      <c r="AA55" s="166">
        <f>IF(AND(AA$22=TRUE,INDEX(CDRANGE_CLS2,MATCH($A55,$A$24:$A$67,0),MATCH(AA$20,$B$20:$G$20,0))&lt;$D$6/OPDAYS_Cls2),86,payback(E55,V55,disc_rate/12,85))</f>
        <v>86</v>
      </c>
      <c r="AB55" s="166">
        <f ca="1">IF(AND(AB$22=TRUE,INDEX(CDRANGE_CLS2,MATCH($A55,$A$24:$A$67,0),MATCH(AB$20,$B$20:$G$20,0))&lt;$D$6/OPDAYS_Cls2),86,payback(F55,W55,disc_rate/12,85))</f>
        <v>86</v>
      </c>
      <c r="AC55" s="167">
        <f ca="1">IF(AND(AC$22=TRUE,INDEX(CDRANGE_CLS2,MATCH($A55,$A$24:$A$67,0),MATCH(AC$20,$B$20:$G$20,0))&lt;$D$6/OPDAYS_Cls2),86,payback(G55,X55,disc_rate/12,85))</f>
        <v>41</v>
      </c>
      <c r="AD55" s="168">
        <f t="shared" si="39"/>
        <v>0</v>
      </c>
      <c r="AE55" s="169">
        <f t="shared" si="40"/>
        <v>0</v>
      </c>
      <c r="AF55" s="169">
        <f t="shared" si="41"/>
        <v>0</v>
      </c>
      <c r="AG55" s="169">
        <f t="shared" si="42"/>
        <v>0</v>
      </c>
      <c r="AH55" s="170">
        <f t="shared" si="43"/>
        <v>0</v>
      </c>
      <c r="AI55" s="171">
        <f t="shared" si="44"/>
        <v>0.49993830271200684</v>
      </c>
      <c r="AJ55" s="172">
        <f t="shared" si="45"/>
        <v>0.49993830271200684</v>
      </c>
      <c r="AK55" s="172">
        <f t="shared" si="46"/>
        <v>0.49993830271200684</v>
      </c>
      <c r="AL55" s="172">
        <f t="shared" si="47"/>
        <v>0.49993830271200684</v>
      </c>
      <c r="AM55" s="173">
        <f t="shared" si="48"/>
        <v>0.49993830271200684</v>
      </c>
      <c r="AN55" s="171">
        <f t="shared" si="60"/>
        <v>0.97202221333701899</v>
      </c>
      <c r="AO55" s="172">
        <f t="shared" si="60"/>
        <v>0.94318651856569347</v>
      </c>
      <c r="AP55" s="172">
        <f t="shared" si="60"/>
        <v>9.7543204103803571E-2</v>
      </c>
      <c r="AQ55" s="172">
        <f t="shared" si="60"/>
        <v>0.54754228070640365</v>
      </c>
      <c r="AR55" s="445">
        <f t="shared" si="60"/>
        <v>0.45520606177345657</v>
      </c>
      <c r="AS55" s="154">
        <f t="shared" ca="1" si="50"/>
        <v>0.99987660542401369</v>
      </c>
      <c r="AT55" s="155">
        <f t="shared" ca="1" si="51"/>
        <v>0.98852796597120163</v>
      </c>
      <c r="AU55" s="155">
        <f t="shared" si="52"/>
        <v>0</v>
      </c>
      <c r="AV55" s="155">
        <f t="shared" ca="1" si="53"/>
        <v>0</v>
      </c>
      <c r="AW55" s="156">
        <f t="shared" ca="1" si="54"/>
        <v>0.13913872104464267</v>
      </c>
      <c r="AX55" s="168">
        <f t="shared" ca="1" si="55"/>
        <v>0.97190227106815497</v>
      </c>
      <c r="AY55" s="169">
        <f t="shared" ca="1" si="56"/>
        <v>0.93236625072920398</v>
      </c>
      <c r="AZ55" s="169">
        <f t="shared" si="57"/>
        <v>0</v>
      </c>
      <c r="BA55" s="155">
        <f t="shared" ca="1" si="61"/>
        <v>0</v>
      </c>
      <c r="BB55" s="156">
        <f t="shared" ca="1" si="62"/>
        <v>6.3336789246927358E-2</v>
      </c>
      <c r="BC55" s="154">
        <f t="shared" ca="1" si="63"/>
        <v>2.8097728931845145E-2</v>
      </c>
      <c r="BD55" s="155">
        <f t="shared" ca="1" si="64"/>
        <v>0.48007291869226748</v>
      </c>
      <c r="BE55" s="155">
        <f t="shared" ca="1" si="65"/>
        <v>0.4605440285532032</v>
      </c>
      <c r="BF55" s="155">
        <f t="shared" ca="1" si="66"/>
        <v>0</v>
      </c>
      <c r="BG55" s="155">
        <f t="shared" ca="1" si="67"/>
        <v>0</v>
      </c>
      <c r="BH55" s="156">
        <f t="shared" ca="1" si="68"/>
        <v>3.1285323822684216E-2</v>
      </c>
    </row>
    <row r="56" spans="1:60" x14ac:dyDescent="0.2">
      <c r="A56" s="189">
        <v>2039</v>
      </c>
      <c r="B56" s="667">
        <f t="shared" si="73"/>
        <v>139788.32999999999</v>
      </c>
      <c r="C56" s="668">
        <f t="shared" si="73"/>
        <v>14408.39</v>
      </c>
      <c r="D56" s="668">
        <f t="shared" si="73"/>
        <v>20446.02</v>
      </c>
      <c r="E56" s="668">
        <f t="shared" si="73"/>
        <v>122182.43</v>
      </c>
      <c r="F56" s="668">
        <f t="shared" si="73"/>
        <v>63139.44</v>
      </c>
      <c r="G56" s="669">
        <f t="shared" si="73"/>
        <v>71977.95</v>
      </c>
      <c r="H56" s="826">
        <f t="shared" si="74"/>
        <v>1</v>
      </c>
      <c r="I56" s="827">
        <f t="shared" si="74"/>
        <v>1</v>
      </c>
      <c r="J56" s="827">
        <f t="shared" si="74"/>
        <v>1</v>
      </c>
      <c r="K56" s="827">
        <f t="shared" si="74"/>
        <v>1</v>
      </c>
      <c r="L56" s="827">
        <f t="shared" si="74"/>
        <v>1</v>
      </c>
      <c r="M56" s="828">
        <f t="shared" si="74"/>
        <v>0.8551613270981151</v>
      </c>
      <c r="N56" s="161">
        <f t="shared" si="28"/>
        <v>9076.0082432056333</v>
      </c>
      <c r="O56" s="162">
        <f t="shared" si="29"/>
        <v>6548.9616654341235</v>
      </c>
      <c r="P56" s="162">
        <f t="shared" si="30"/>
        <v>5976.7331199705959</v>
      </c>
      <c r="Q56" s="162">
        <f t="shared" si="31"/>
        <v>9024.6223633011086</v>
      </c>
      <c r="R56" s="162">
        <f t="shared" si="32"/>
        <v>7856.1925922780983</v>
      </c>
      <c r="S56" s="164">
        <f t="shared" si="33"/>
        <v>6794.5827297595542</v>
      </c>
      <c r="T56" s="161">
        <f t="shared" si="34"/>
        <v>2527.0465777715099</v>
      </c>
      <c r="U56" s="162">
        <f t="shared" si="35"/>
        <v>3099.2751232350374</v>
      </c>
      <c r="V56" s="162">
        <f t="shared" si="36"/>
        <v>51.3858799045247</v>
      </c>
      <c r="W56" s="162">
        <f t="shared" si="37"/>
        <v>1219.815650927535</v>
      </c>
      <c r="X56" s="164">
        <f t="shared" si="38"/>
        <v>2281.4255134460791</v>
      </c>
      <c r="Y56" s="165">
        <f ca="1">IF(AND(Y$22=TRUE,INDEX(CDRANGE_CLS2,MATCH($A56,$A$24:$A$67,0),MATCH(Y$20,$B$20:$G$20,0))&lt;$D$6/OPDAYS_Cls2),86,payback(C56,T56,disc_rate/12,85))</f>
        <v>6</v>
      </c>
      <c r="Z56" s="166">
        <f ca="1">IF(AND(Z$22=TRUE,INDEX(CDRANGE_CLS2,MATCH($A56,$A$24:$A$67,0),MATCH(Z$20,$B$20:$G$20,0))&lt;$D$6/OPDAYS_Cls2),86,payback(D56,U56,disc_rate/12,85))</f>
        <v>7</v>
      </c>
      <c r="AA56" s="166">
        <f>IF(AND(AA$22=TRUE,INDEX(CDRANGE_CLS2,MATCH($A56,$A$24:$A$67,0),MATCH(AA$20,$B$20:$G$20,0))&lt;$D$6/OPDAYS_Cls2),86,payback(E56,V56,disc_rate/12,85))</f>
        <v>86</v>
      </c>
      <c r="AB56" s="166">
        <f ca="1">IF(AND(AB$22=TRUE,INDEX(CDRANGE_CLS2,MATCH($A56,$A$24:$A$67,0),MATCH(AB$20,$B$20:$G$20,0))&lt;$D$6/OPDAYS_Cls2),86,payback(F56,W56,disc_rate/12,85))</f>
        <v>63</v>
      </c>
      <c r="AC56" s="167">
        <f ca="1">IF(AND(AC$22=TRUE,INDEX(CDRANGE_CLS2,MATCH($A56,$A$24:$A$67,0),MATCH(AC$20,$B$20:$G$20,0))&lt;$D$6/OPDAYS_Cls2),86,payback(G56,X56,disc_rate/12,85))</f>
        <v>36</v>
      </c>
      <c r="AD56" s="168">
        <f t="shared" si="39"/>
        <v>0</v>
      </c>
      <c r="AE56" s="169">
        <f t="shared" si="40"/>
        <v>0</v>
      </c>
      <c r="AF56" s="169">
        <f t="shared" si="41"/>
        <v>0</v>
      </c>
      <c r="AG56" s="169">
        <f t="shared" si="42"/>
        <v>0</v>
      </c>
      <c r="AH56" s="170">
        <f t="shared" si="43"/>
        <v>0</v>
      </c>
      <c r="AI56" s="171">
        <f t="shared" si="44"/>
        <v>0.4999773010656488</v>
      </c>
      <c r="AJ56" s="172">
        <f t="shared" si="45"/>
        <v>0.4999773010656488</v>
      </c>
      <c r="AK56" s="172">
        <f t="shared" si="46"/>
        <v>0.4999773010656488</v>
      </c>
      <c r="AL56" s="172">
        <f t="shared" si="47"/>
        <v>0.4999773010656488</v>
      </c>
      <c r="AM56" s="173">
        <f t="shared" si="48"/>
        <v>0.4999773010656488</v>
      </c>
      <c r="AN56" s="171">
        <f t="shared" si="60"/>
        <v>0.97092002258928078</v>
      </c>
      <c r="AO56" s="172">
        <f t="shared" si="60"/>
        <v>0.94230568322196062</v>
      </c>
      <c r="AP56" s="172">
        <f t="shared" si="60"/>
        <v>0.11977553224614756</v>
      </c>
      <c r="AQ56" s="172">
        <f t="shared" si="60"/>
        <v>0.56739186422536747</v>
      </c>
      <c r="AR56" s="445">
        <f t="shared" si="60"/>
        <v>0.47880146732443463</v>
      </c>
      <c r="AS56" s="154">
        <f t="shared" ca="1" si="50"/>
        <v>0.99995460213129761</v>
      </c>
      <c r="AT56" s="155">
        <f t="shared" ca="1" si="51"/>
        <v>0.99668203611259476</v>
      </c>
      <c r="AU56" s="155">
        <f t="shared" si="52"/>
        <v>0</v>
      </c>
      <c r="AV56" s="155">
        <f t="shared" ca="1" si="53"/>
        <v>8.6986304154697408E-3</v>
      </c>
      <c r="AW56" s="156">
        <f t="shared" ca="1" si="54"/>
        <v>0.22439527093482442</v>
      </c>
      <c r="AX56" s="168">
        <f t="shared" ca="1" si="55"/>
        <v>0.97087594488957474</v>
      </c>
      <c r="AY56" s="169">
        <f t="shared" ca="1" si="56"/>
        <v>0.93917914699413341</v>
      </c>
      <c r="AZ56" s="169">
        <f t="shared" si="57"/>
        <v>0</v>
      </c>
      <c r="BA56" s="155">
        <f t="shared" ca="1" si="61"/>
        <v>4.9355321276408591E-3</v>
      </c>
      <c r="BB56" s="156">
        <f t="shared" ca="1" si="62"/>
        <v>0.10744078498425799</v>
      </c>
      <c r="BC56" s="154">
        <f t="shared" ca="1" si="63"/>
        <v>2.9124055110425262E-2</v>
      </c>
      <c r="BD56" s="155">
        <f t="shared" ca="1" si="64"/>
        <v>0.46607271632185771</v>
      </c>
      <c r="BE56" s="155">
        <f t="shared" ca="1" si="65"/>
        <v>0.4508565470763487</v>
      </c>
      <c r="BF56" s="155">
        <f t="shared" ca="1" si="66"/>
        <v>0</v>
      </c>
      <c r="BG56" s="155">
        <f t="shared" ca="1" si="67"/>
        <v>2.3693211036194804E-3</v>
      </c>
      <c r="BH56" s="156">
        <f t="shared" ca="1" si="68"/>
        <v>5.157736038774885E-2</v>
      </c>
    </row>
    <row r="57" spans="1:60" ht="13.5" thickBot="1" x14ac:dyDescent="0.25">
      <c r="A57" s="174">
        <v>2040</v>
      </c>
      <c r="B57" s="661">
        <f t="shared" si="73"/>
        <v>139788.32999999999</v>
      </c>
      <c r="C57" s="662">
        <f t="shared" si="73"/>
        <v>14804.59</v>
      </c>
      <c r="D57" s="662">
        <f t="shared" si="73"/>
        <v>20674.63</v>
      </c>
      <c r="E57" s="662">
        <f t="shared" si="73"/>
        <v>114002.36</v>
      </c>
      <c r="F57" s="662">
        <f t="shared" si="73"/>
        <v>60372.01</v>
      </c>
      <c r="G57" s="663">
        <f t="shared" si="73"/>
        <v>68537.59</v>
      </c>
      <c r="H57" s="820">
        <f t="shared" si="74"/>
        <v>1</v>
      </c>
      <c r="I57" s="821">
        <f t="shared" si="74"/>
        <v>1</v>
      </c>
      <c r="J57" s="821">
        <f t="shared" si="74"/>
        <v>1</v>
      </c>
      <c r="K57" s="821">
        <f t="shared" si="74"/>
        <v>1</v>
      </c>
      <c r="L57" s="821">
        <f t="shared" si="74"/>
        <v>1</v>
      </c>
      <c r="M57" s="822">
        <f t="shared" si="74"/>
        <v>0.85063495278544154</v>
      </c>
      <c r="N57" s="175">
        <f t="shared" si="28"/>
        <v>9075.8967414753406</v>
      </c>
      <c r="O57" s="176">
        <f t="shared" si="29"/>
        <v>6435.4563407462156</v>
      </c>
      <c r="P57" s="176">
        <f t="shared" si="30"/>
        <v>5821.5341441554192</v>
      </c>
      <c r="Q57" s="176">
        <f t="shared" si="31"/>
        <v>8504.308872222422</v>
      </c>
      <c r="R57" s="176">
        <f t="shared" si="32"/>
        <v>7456.5891431815353</v>
      </c>
      <c r="S57" s="178">
        <f t="shared" si="33"/>
        <v>6572.0868325758829</v>
      </c>
      <c r="T57" s="175">
        <f t="shared" si="34"/>
        <v>2640.440400729125</v>
      </c>
      <c r="U57" s="176">
        <f t="shared" si="35"/>
        <v>3254.3625973199214</v>
      </c>
      <c r="V57" s="176">
        <f t="shared" si="36"/>
        <v>571.58786925291861</v>
      </c>
      <c r="W57" s="176">
        <f t="shared" si="37"/>
        <v>1619.3075982938053</v>
      </c>
      <c r="X57" s="178">
        <f t="shared" si="38"/>
        <v>2503.8099088994577</v>
      </c>
      <c r="Y57" s="179">
        <f ca="1">IF(AND(Y$22=TRUE,INDEX(CDRANGE_CLS2,MATCH($A57,$A$24:$A$67,0),MATCH(Y$20,$B$20:$G$20,0))&lt;$D$6/OPDAYS_Cls2),86,payback(C57,T57,disc_rate/12,85))</f>
        <v>6</v>
      </c>
      <c r="Z57" s="180">
        <f ca="1">IF(AND(Z$22=TRUE,INDEX(CDRANGE_CLS2,MATCH($A57,$A$24:$A$67,0),MATCH(Z$20,$B$20:$G$20,0))&lt;$D$6/OPDAYS_Cls2),86,payback(D57,U57,disc_rate/12,85))</f>
        <v>7</v>
      </c>
      <c r="AA57" s="180">
        <f>IF(AND(AA$22=TRUE,INDEX(CDRANGE_CLS2,MATCH($A57,$A$24:$A$67,0),MATCH(AA$20,$B$20:$G$20,0))&lt;$D$6/OPDAYS_Cls2),86,payback(E57,V57,disc_rate/12,85))</f>
        <v>86</v>
      </c>
      <c r="AB57" s="180">
        <f ca="1">IF(AND(AB$22=TRUE,INDEX(CDRANGE_CLS2,MATCH($A57,$A$24:$A$67,0),MATCH(AB$20,$B$20:$G$20,0))&lt;$D$6/OPDAYS_Cls2),86,payback(F57,W57,disc_rate/12,85))</f>
        <v>43</v>
      </c>
      <c r="AC57" s="181">
        <f ca="1">IF(AND(AC$22=TRUE,INDEX(CDRANGE_CLS2,MATCH($A57,$A$24:$A$67,0),MATCH(AC$20,$B$20:$G$20,0))&lt;$D$6/OPDAYS_Cls2),86,payback(G57,X57,disc_rate/12,85))</f>
        <v>31</v>
      </c>
      <c r="AD57" s="182">
        <f t="shared" si="39"/>
        <v>0</v>
      </c>
      <c r="AE57" s="183">
        <f t="shared" si="40"/>
        <v>0</v>
      </c>
      <c r="AF57" s="183">
        <f t="shared" si="41"/>
        <v>0</v>
      </c>
      <c r="AG57" s="183">
        <f t="shared" si="42"/>
        <v>0</v>
      </c>
      <c r="AH57" s="184">
        <f t="shared" si="43"/>
        <v>0</v>
      </c>
      <c r="AI57" s="185">
        <f t="shared" si="44"/>
        <v>0.49999164928907602</v>
      </c>
      <c r="AJ57" s="186">
        <f t="shared" si="45"/>
        <v>0.49999164928907602</v>
      </c>
      <c r="AK57" s="186">
        <f t="shared" si="46"/>
        <v>0.49999164928907602</v>
      </c>
      <c r="AL57" s="186">
        <f t="shared" si="47"/>
        <v>0.49999164928907602</v>
      </c>
      <c r="AM57" s="187">
        <f t="shared" si="48"/>
        <v>0.49999164928907602</v>
      </c>
      <c r="AN57" s="477">
        <f t="shared" si="60"/>
        <v>0.96932387799317909</v>
      </c>
      <c r="AO57" s="475">
        <f t="shared" si="60"/>
        <v>0.94104730114205504</v>
      </c>
      <c r="AP57" s="475">
        <f t="shared" si="60"/>
        <v>0.15763148671645488</v>
      </c>
      <c r="AQ57" s="475">
        <f t="shared" si="60"/>
        <v>0.59564172825123218</v>
      </c>
      <c r="AR57" s="476">
        <f t="shared" si="60"/>
        <v>0.51286166953606971</v>
      </c>
      <c r="AS57" s="191">
        <f t="shared" ca="1" si="50"/>
        <v>0.99998329857815205</v>
      </c>
      <c r="AT57" s="192">
        <f t="shared" ca="1" si="51"/>
        <v>0.99671063864416876</v>
      </c>
      <c r="AU57" s="192">
        <f t="shared" si="52"/>
        <v>0</v>
      </c>
      <c r="AV57" s="192">
        <f t="shared" ca="1" si="53"/>
        <v>0.11308142320739895</v>
      </c>
      <c r="AW57" s="193">
        <f t="shared" ca="1" si="54"/>
        <v>0.34086687563195228</v>
      </c>
      <c r="AX57" s="182">
        <f t="shared" ca="1" si="55"/>
        <v>0.96930768890618546</v>
      </c>
      <c r="AY57" s="183">
        <f t="shared" ca="1" si="56"/>
        <v>0.93795185651566904</v>
      </c>
      <c r="AZ57" s="183">
        <f t="shared" si="57"/>
        <v>0</v>
      </c>
      <c r="BA57" s="183">
        <f t="shared" ca="1" si="61"/>
        <v>6.7356014352364102E-2</v>
      </c>
      <c r="BB57" s="184">
        <f t="shared" ca="1" si="62"/>
        <v>0.1748175549261469</v>
      </c>
      <c r="BC57" s="182">
        <f t="shared" ca="1" si="63"/>
        <v>3.069231109381465E-2</v>
      </c>
      <c r="BD57" s="183">
        <f t="shared" ca="1" si="64"/>
        <v>0.43711869392299102</v>
      </c>
      <c r="BE57" s="183">
        <f t="shared" ca="1" si="65"/>
        <v>0.42297847750019807</v>
      </c>
      <c r="BF57" s="183">
        <f t="shared" ca="1" si="66"/>
        <v>0</v>
      </c>
      <c r="BG57" s="183">
        <f t="shared" ca="1" si="67"/>
        <v>3.0374847283825925E-2</v>
      </c>
      <c r="BH57" s="184">
        <f t="shared" ca="1" si="68"/>
        <v>7.8835670199170371E-2</v>
      </c>
    </row>
    <row r="58" spans="1:60" x14ac:dyDescent="0.2">
      <c r="A58" s="188">
        <v>2041</v>
      </c>
      <c r="B58" s="664">
        <f t="shared" si="73"/>
        <v>139788.32999999999</v>
      </c>
      <c r="C58" s="665">
        <f t="shared" si="73"/>
        <v>15325.35</v>
      </c>
      <c r="D58" s="665">
        <f t="shared" si="73"/>
        <v>20975.11</v>
      </c>
      <c r="E58" s="665">
        <f t="shared" si="73"/>
        <v>103250.76</v>
      </c>
      <c r="F58" s="665">
        <f t="shared" si="73"/>
        <v>56734.59</v>
      </c>
      <c r="G58" s="666">
        <f t="shared" si="73"/>
        <v>64015.71</v>
      </c>
      <c r="H58" s="823">
        <f t="shared" si="74"/>
        <v>1</v>
      </c>
      <c r="I58" s="824">
        <f t="shared" si="74"/>
        <v>1</v>
      </c>
      <c r="J58" s="824">
        <f t="shared" si="74"/>
        <v>1</v>
      </c>
      <c r="K58" s="824">
        <f t="shared" si="74"/>
        <v>1</v>
      </c>
      <c r="L58" s="824">
        <f t="shared" si="74"/>
        <v>1</v>
      </c>
      <c r="M58" s="825">
        <f t="shared" si="74"/>
        <v>0.84468564787552336</v>
      </c>
      <c r="N58" s="147">
        <f t="shared" si="28"/>
        <v>9133.4082858214406</v>
      </c>
      <c r="O58" s="148">
        <f t="shared" si="29"/>
        <v>6331.9952533502019</v>
      </c>
      <c r="P58" s="148">
        <f t="shared" si="30"/>
        <v>5665.0824243744955</v>
      </c>
      <c r="Q58" s="148">
        <f t="shared" si="31"/>
        <v>7803.0052742743655</v>
      </c>
      <c r="R58" s="148">
        <f t="shared" si="32"/>
        <v>7017.3889448436175</v>
      </c>
      <c r="S58" s="150">
        <f t="shared" si="33"/>
        <v>6317.5216295730506</v>
      </c>
      <c r="T58" s="147">
        <f t="shared" si="34"/>
        <v>2801.4130324712387</v>
      </c>
      <c r="U58" s="148">
        <f t="shared" si="35"/>
        <v>3468.3258614469451</v>
      </c>
      <c r="V58" s="148">
        <f t="shared" si="36"/>
        <v>1330.403011547075</v>
      </c>
      <c r="W58" s="148">
        <f t="shared" si="37"/>
        <v>2116.019340977823</v>
      </c>
      <c r="X58" s="150">
        <f t="shared" si="38"/>
        <v>2815.88665624839</v>
      </c>
      <c r="Y58" s="151">
        <f ca="1">IF(AND(Y$22=TRUE,INDEX(CDRANGE_CLS2,MATCH($A58,$A$24:$A$67,0),MATCH(Y$20,$B$20:$G$20,0))&lt;$D$6/OPDAYS_Cls2),86,payback(C58,T58,disc_rate/12,85))</f>
        <v>6</v>
      </c>
      <c r="Z58" s="152">
        <f ca="1">IF(AND(Z$22=TRUE,INDEX(CDRANGE_CLS2,MATCH($A58,$A$24:$A$67,0),MATCH(Z$20,$B$20:$G$20,0))&lt;$D$6/OPDAYS_Cls2),86,payback(D58,U58,disc_rate/12,85))</f>
        <v>7</v>
      </c>
      <c r="AA58" s="152">
        <f>IF(AND(AA$22=TRUE,INDEX(CDRANGE_CLS2,MATCH($A58,$A$24:$A$67,0),MATCH(AA$20,$B$20:$G$20,0))&lt;$D$6/OPDAYS_Cls2),86,payback(E58,V58,disc_rate/12,85))</f>
        <v>86</v>
      </c>
      <c r="AB58" s="152">
        <f ca="1">IF(AND(AB$22=TRUE,INDEX(CDRANGE_CLS2,MATCH($A58,$A$24:$A$67,0),MATCH(AB$20,$B$20:$G$20,0))&lt;$D$6/OPDAYS_Cls2),86,payback(F58,W58,disc_rate/12,85))</f>
        <v>30</v>
      </c>
      <c r="AC58" s="153">
        <f ca="1">IF(AND(AC$22=TRUE,INDEX(CDRANGE_CLS2,MATCH($A58,$A$24:$A$67,0),MATCH(AC$20,$B$20:$G$20,0))&lt;$D$6/OPDAYS_Cls2),86,payback(G58,X58,disc_rate/12,85))</f>
        <v>25</v>
      </c>
      <c r="AD58" s="154">
        <f t="shared" si="39"/>
        <v>0</v>
      </c>
      <c r="AE58" s="155">
        <f t="shared" si="40"/>
        <v>0</v>
      </c>
      <c r="AF58" s="155">
        <f t="shared" si="41"/>
        <v>0</v>
      </c>
      <c r="AG58" s="155">
        <f t="shared" si="42"/>
        <v>0</v>
      </c>
      <c r="AH58" s="156">
        <f t="shared" si="43"/>
        <v>0</v>
      </c>
      <c r="AI58" s="157">
        <f t="shared" si="44"/>
        <v>0.4999969279126989</v>
      </c>
      <c r="AJ58" s="158">
        <f t="shared" si="45"/>
        <v>0.4999969279126989</v>
      </c>
      <c r="AK58" s="158">
        <f t="shared" si="46"/>
        <v>0.4999969279126989</v>
      </c>
      <c r="AL58" s="158">
        <f t="shared" si="47"/>
        <v>0.4999969279126989</v>
      </c>
      <c r="AM58" s="159">
        <f t="shared" si="48"/>
        <v>0.4999969279126989</v>
      </c>
      <c r="AN58" s="490">
        <f t="shared" si="60"/>
        <v>0.96716426357929408</v>
      </c>
      <c r="AO58" s="488">
        <f t="shared" si="60"/>
        <v>0.93937463706283331</v>
      </c>
      <c r="AP58" s="488">
        <f t="shared" si="60"/>
        <v>0.21970885780443805</v>
      </c>
      <c r="AQ58" s="488">
        <f t="shared" si="60"/>
        <v>0.63282355396250756</v>
      </c>
      <c r="AR58" s="489">
        <f t="shared" si="60"/>
        <v>0.55847574608420958</v>
      </c>
      <c r="AS58" s="154">
        <f t="shared" ca="1" si="50"/>
        <v>0.99999385582539779</v>
      </c>
      <c r="AT58" s="155">
        <f t="shared" ca="1" si="51"/>
        <v>0.99672116134055733</v>
      </c>
      <c r="AU58" s="155">
        <f t="shared" si="52"/>
        <v>0</v>
      </c>
      <c r="AV58" s="155">
        <f t="shared" ca="1" si="53"/>
        <v>0.36787718085592319</v>
      </c>
      <c r="AW58" s="156">
        <f t="shared" ca="1" si="54"/>
        <v>0.51854933746311815</v>
      </c>
      <c r="AX58" s="154">
        <f t="shared" ca="1" si="55"/>
        <v>0.96715832115318967</v>
      </c>
      <c r="AY58" s="155">
        <f t="shared" ca="1" si="56"/>
        <v>0.93629457918713177</v>
      </c>
      <c r="AZ58" s="155">
        <f t="shared" si="57"/>
        <v>0</v>
      </c>
      <c r="BA58" s="155">
        <f t="shared" ca="1" si="61"/>
        <v>0.23280134501095345</v>
      </c>
      <c r="BB58" s="156">
        <f t="shared" ca="1" si="62"/>
        <v>0.28959722812118749</v>
      </c>
      <c r="BC58" s="154">
        <f t="shared" ca="1" si="63"/>
        <v>3.284167884681044E-2</v>
      </c>
      <c r="BD58" s="155">
        <f t="shared" ca="1" si="64"/>
        <v>0.38559459571401278</v>
      </c>
      <c r="BE58" s="155">
        <f t="shared" ca="1" si="65"/>
        <v>0.37328958644579524</v>
      </c>
      <c r="BF58" s="155">
        <f t="shared" ca="1" si="66"/>
        <v>0</v>
      </c>
      <c r="BG58" s="155">
        <f t="shared" ca="1" si="67"/>
        <v>9.2815145719000319E-2</v>
      </c>
      <c r="BH58" s="156">
        <f t="shared" ca="1" si="68"/>
        <v>0.11545899327438129</v>
      </c>
    </row>
    <row r="59" spans="1:60" x14ac:dyDescent="0.2">
      <c r="A59" s="189">
        <v>2042</v>
      </c>
      <c r="B59" s="667">
        <f t="shared" si="73"/>
        <v>139788.32999999999</v>
      </c>
      <c r="C59" s="668">
        <f t="shared" si="73"/>
        <v>15946.32</v>
      </c>
      <c r="D59" s="668">
        <f t="shared" si="73"/>
        <v>21333.41</v>
      </c>
      <c r="E59" s="668">
        <f t="shared" si="73"/>
        <v>90430.28</v>
      </c>
      <c r="F59" s="668">
        <f t="shared" si="73"/>
        <v>52397.24</v>
      </c>
      <c r="G59" s="669">
        <f t="shared" si="73"/>
        <v>58623.7</v>
      </c>
      <c r="H59" s="826">
        <f t="shared" si="74"/>
        <v>1</v>
      </c>
      <c r="I59" s="827">
        <f t="shared" si="74"/>
        <v>1</v>
      </c>
      <c r="J59" s="827">
        <f t="shared" si="74"/>
        <v>1</v>
      </c>
      <c r="K59" s="827">
        <f t="shared" si="74"/>
        <v>1</v>
      </c>
      <c r="L59" s="827">
        <f t="shared" si="74"/>
        <v>1</v>
      </c>
      <c r="M59" s="828">
        <f t="shared" si="74"/>
        <v>0.83759154362143307</v>
      </c>
      <c r="N59" s="161">
        <f t="shared" si="28"/>
        <v>9266.4964026638736</v>
      </c>
      <c r="O59" s="162">
        <f t="shared" si="29"/>
        <v>6258.012034403012</v>
      </c>
      <c r="P59" s="162">
        <f t="shared" si="30"/>
        <v>5529.9761638794362</v>
      </c>
      <c r="Q59" s="162">
        <f t="shared" si="31"/>
        <v>6951.6121563084034</v>
      </c>
      <c r="R59" s="162">
        <f t="shared" si="32"/>
        <v>6564.5774087130121</v>
      </c>
      <c r="S59" s="164">
        <f t="shared" si="33"/>
        <v>6051.974870502826</v>
      </c>
      <c r="T59" s="161">
        <f t="shared" si="34"/>
        <v>3008.4843682608616</v>
      </c>
      <c r="U59" s="162">
        <f t="shared" si="35"/>
        <v>3736.5202387844374</v>
      </c>
      <c r="V59" s="162">
        <f t="shared" si="36"/>
        <v>2314.8842463554702</v>
      </c>
      <c r="W59" s="162">
        <f t="shared" si="37"/>
        <v>2701.9189939508615</v>
      </c>
      <c r="X59" s="164">
        <f t="shared" si="38"/>
        <v>3214.5215321610476</v>
      </c>
      <c r="Y59" s="165">
        <f ca="1">IF(AND(Y$22=TRUE,INDEX(CDRANGE_CLS2,MATCH($A59,$A$24:$A$67,0),MATCH(Y$20,$B$20:$G$20,0))&lt;$D$6/OPDAYS_Cls2),86,payback(C59,T59,disc_rate/12,85))</f>
        <v>6</v>
      </c>
      <c r="Z59" s="166">
        <f ca="1">IF(AND(Z$22=TRUE,INDEX(CDRANGE_CLS2,MATCH($A59,$A$24:$A$67,0),MATCH(Z$20,$B$20:$G$20,0))&lt;$D$6/OPDAYS_Cls2),86,payback(D59,U59,disc_rate/12,85))</f>
        <v>6</v>
      </c>
      <c r="AA59" s="166">
        <f>IF(AND(AA$22=TRUE,INDEX(CDRANGE_CLS2,MATCH($A59,$A$24:$A$67,0),MATCH(AA$20,$B$20:$G$20,0))&lt;$D$6/OPDAYS_Cls2),86,payback(E59,V59,disc_rate/12,85))</f>
        <v>86</v>
      </c>
      <c r="AB59" s="166">
        <f ca="1">IF(AND(AB$22=TRUE,INDEX(CDRANGE_CLS2,MATCH($A59,$A$24:$A$67,0),MATCH(AB$20,$B$20:$G$20,0))&lt;$D$6/OPDAYS_Cls2),86,payback(F59,W59,disc_rate/12,85))</f>
        <v>21</v>
      </c>
      <c r="AC59" s="167">
        <f ca="1">IF(AND(AC$22=TRUE,INDEX(CDRANGE_CLS2,MATCH($A59,$A$24:$A$67,0),MATCH(AC$20,$B$20:$G$20,0))&lt;$D$6/OPDAYS_Cls2),86,payback(G59,X59,disc_rate/12,85))</f>
        <v>20</v>
      </c>
      <c r="AD59" s="168">
        <f t="shared" si="39"/>
        <v>0</v>
      </c>
      <c r="AE59" s="169">
        <f t="shared" si="40"/>
        <v>0</v>
      </c>
      <c r="AF59" s="169">
        <f t="shared" si="41"/>
        <v>0</v>
      </c>
      <c r="AG59" s="169">
        <f t="shared" si="42"/>
        <v>0</v>
      </c>
      <c r="AH59" s="170">
        <f t="shared" si="43"/>
        <v>0</v>
      </c>
      <c r="AI59" s="171">
        <f t="shared" si="44"/>
        <v>0.49999886983785102</v>
      </c>
      <c r="AJ59" s="172">
        <f t="shared" si="45"/>
        <v>0.49999886983785102</v>
      </c>
      <c r="AK59" s="172">
        <f t="shared" si="46"/>
        <v>0.49999886983785102</v>
      </c>
      <c r="AL59" s="172">
        <f t="shared" si="47"/>
        <v>0.49999886983785102</v>
      </c>
      <c r="AM59" s="173">
        <f t="shared" si="48"/>
        <v>0.49999886983785102</v>
      </c>
      <c r="AN59" s="171">
        <f t="shared" si="60"/>
        <v>0.9644981520175987</v>
      </c>
      <c r="AO59" s="172">
        <f t="shared" si="60"/>
        <v>0.93735254330788287</v>
      </c>
      <c r="AP59" s="172">
        <f t="shared" si="60"/>
        <v>0.3127114331784876</v>
      </c>
      <c r="AQ59" s="172">
        <f t="shared" si="60"/>
        <v>0.67686964111663517</v>
      </c>
      <c r="AR59" s="445">
        <f t="shared" si="60"/>
        <v>0.6135201096344447</v>
      </c>
      <c r="AS59" s="154">
        <f t="shared" ca="1" si="50"/>
        <v>0.99999773967570205</v>
      </c>
      <c r="AT59" s="155">
        <f t="shared" ca="1" si="51"/>
        <v>0.99999773967570205</v>
      </c>
      <c r="AU59" s="155">
        <f t="shared" si="52"/>
        <v>0</v>
      </c>
      <c r="AV59" s="155">
        <f t="shared" ca="1" si="53"/>
        <v>0.65107692945082851</v>
      </c>
      <c r="AW59" s="156">
        <f t="shared" ca="1" si="54"/>
        <v>0.68453748260111547</v>
      </c>
      <c r="AX59" s="168">
        <f t="shared" ca="1" si="55"/>
        <v>0.96449597193899039</v>
      </c>
      <c r="AY59" s="169">
        <f t="shared" ca="1" si="56"/>
        <v>0.93735042458715345</v>
      </c>
      <c r="AZ59" s="169">
        <f t="shared" si="57"/>
        <v>0</v>
      </c>
      <c r="BA59" s="155">
        <f t="shared" ca="1" si="61"/>
        <v>0.44069420757670308</v>
      </c>
      <c r="BB59" s="156">
        <f t="shared" ca="1" si="62"/>
        <v>0.41997751137432315</v>
      </c>
      <c r="BC59" s="154">
        <f t="shared" ca="1" si="63"/>
        <v>3.5504028061009496E-2</v>
      </c>
      <c r="BD59" s="155">
        <f t="shared" ca="1" si="64"/>
        <v>0.33674077092010496</v>
      </c>
      <c r="BE59" s="155">
        <f t="shared" ca="1" si="65"/>
        <v>0.32726326887939766</v>
      </c>
      <c r="BF59" s="155">
        <f t="shared" ca="1" si="66"/>
        <v>0</v>
      </c>
      <c r="BG59" s="155">
        <f t="shared" ca="1" si="67"/>
        <v>0.15386244371872904</v>
      </c>
      <c r="BH59" s="156">
        <f t="shared" ca="1" si="68"/>
        <v>0.14662948842075885</v>
      </c>
    </row>
    <row r="60" spans="1:60" x14ac:dyDescent="0.2">
      <c r="A60" s="189">
        <v>2043</v>
      </c>
      <c r="B60" s="667">
        <f t="shared" si="73"/>
        <v>139788.32999999999</v>
      </c>
      <c r="C60" s="668">
        <f t="shared" si="73"/>
        <v>16606.3</v>
      </c>
      <c r="D60" s="668">
        <f t="shared" si="73"/>
        <v>21714.21</v>
      </c>
      <c r="E60" s="668">
        <f t="shared" si="73"/>
        <v>76804.34</v>
      </c>
      <c r="F60" s="668">
        <f t="shared" si="73"/>
        <v>47787.38</v>
      </c>
      <c r="G60" s="669">
        <f t="shared" si="73"/>
        <v>52892.93</v>
      </c>
      <c r="H60" s="826">
        <f t="shared" si="74"/>
        <v>1</v>
      </c>
      <c r="I60" s="827">
        <f t="shared" si="74"/>
        <v>1</v>
      </c>
      <c r="J60" s="827">
        <f t="shared" si="74"/>
        <v>1</v>
      </c>
      <c r="K60" s="827">
        <f t="shared" si="74"/>
        <v>1</v>
      </c>
      <c r="L60" s="827">
        <f t="shared" si="74"/>
        <v>1</v>
      </c>
      <c r="M60" s="828">
        <f t="shared" si="74"/>
        <v>0.83005174375636304</v>
      </c>
      <c r="N60" s="161">
        <f t="shared" si="28"/>
        <v>9322.1687641887056</v>
      </c>
      <c r="O60" s="162">
        <f t="shared" si="29"/>
        <v>6127.0853899801205</v>
      </c>
      <c r="P60" s="162">
        <f t="shared" si="30"/>
        <v>5347.9611721736601</v>
      </c>
      <c r="Q60" s="162">
        <f t="shared" si="31"/>
        <v>6014.0701029446418</v>
      </c>
      <c r="R60" s="162">
        <f t="shared" si="32"/>
        <v>6132.6883617216308</v>
      </c>
      <c r="S60" s="164">
        <f t="shared" si="33"/>
        <v>5722.1269510617576</v>
      </c>
      <c r="T60" s="161">
        <f t="shared" si="34"/>
        <v>3195.0833742085852</v>
      </c>
      <c r="U60" s="162">
        <f t="shared" si="35"/>
        <v>3974.2075920150455</v>
      </c>
      <c r="V60" s="162">
        <f t="shared" si="36"/>
        <v>3308.0986612440638</v>
      </c>
      <c r="W60" s="162">
        <f t="shared" si="37"/>
        <v>3189.4804024670748</v>
      </c>
      <c r="X60" s="164">
        <f t="shared" si="38"/>
        <v>3600.041813126948</v>
      </c>
      <c r="Y60" s="165">
        <f ca="1">IF(AND(Y$22=TRUE,INDEX(CDRANGE_CLS2,MATCH($A60,$A$24:$A$67,0),MATCH(Y$20,$B$20:$G$20,0))&lt;$D$6/OPDAYS_Cls2),86,payback(C60,T60,disc_rate/12,85))</f>
        <v>6</v>
      </c>
      <c r="Z60" s="166">
        <f ca="1">IF(AND(Z$22=TRUE,INDEX(CDRANGE_CLS2,MATCH($A60,$A$24:$A$67,0),MATCH(Z$20,$B$20:$G$20,0))&lt;$D$6/OPDAYS_Cls2),86,payback(D60,U60,disc_rate/12,85))</f>
        <v>6</v>
      </c>
      <c r="AA60" s="166">
        <f>IF(AND(AA$22=TRUE,INDEX(CDRANGE_CLS2,MATCH($A60,$A$24:$A$67,0),MATCH(AA$20,$B$20:$G$20,0))&lt;$D$6/OPDAYS_Cls2),86,payback(E60,V60,disc_rate/12,85))</f>
        <v>86</v>
      </c>
      <c r="AB60" s="166">
        <f ca="1">IF(AND(AB$22=TRUE,INDEX(CDRANGE_CLS2,MATCH($A60,$A$24:$A$67,0),MATCH(AB$20,$B$20:$G$20,0))&lt;$D$6/OPDAYS_Cls2),86,payback(F60,W60,disc_rate/12,85))</f>
        <v>16</v>
      </c>
      <c r="AC60" s="167">
        <f ca="1">IF(AND(AC$22=TRUE,INDEX(CDRANGE_CLS2,MATCH($A60,$A$24:$A$67,0),MATCH(AC$20,$B$20:$G$20,0))&lt;$D$6/OPDAYS_Cls2),86,payback(G60,X60,disc_rate/12,85))</f>
        <v>16</v>
      </c>
      <c r="AD60" s="168">
        <f t="shared" si="39"/>
        <v>0</v>
      </c>
      <c r="AE60" s="169">
        <f t="shared" si="40"/>
        <v>0</v>
      </c>
      <c r="AF60" s="169">
        <f t="shared" si="41"/>
        <v>0</v>
      </c>
      <c r="AG60" s="169">
        <f t="shared" si="42"/>
        <v>0</v>
      </c>
      <c r="AH60" s="170">
        <f t="shared" si="43"/>
        <v>0</v>
      </c>
      <c r="AI60" s="171">
        <f t="shared" si="44"/>
        <v>0.49999958423598612</v>
      </c>
      <c r="AJ60" s="172">
        <f t="shared" si="45"/>
        <v>0.49999958423598612</v>
      </c>
      <c r="AK60" s="172">
        <f t="shared" si="46"/>
        <v>0.49999958423598612</v>
      </c>
      <c r="AL60" s="172">
        <f t="shared" si="47"/>
        <v>0.49999958423598612</v>
      </c>
      <c r="AM60" s="173">
        <f t="shared" si="48"/>
        <v>0.49999958423598612</v>
      </c>
      <c r="AN60" s="171">
        <f t="shared" si="60"/>
        <v>0.96155704528441055</v>
      </c>
      <c r="AO60" s="172">
        <f t="shared" si="60"/>
        <v>0.93517082435178656</v>
      </c>
      <c r="AP60" s="172">
        <f t="shared" si="60"/>
        <v>0.43233843875989508</v>
      </c>
      <c r="AQ60" s="172">
        <f t="shared" si="60"/>
        <v>0.72279827419261355</v>
      </c>
      <c r="AR60" s="445">
        <f t="shared" si="60"/>
        <v>0.67186643222009401</v>
      </c>
      <c r="AS60" s="154">
        <f t="shared" ca="1" si="50"/>
        <v>0.99999916847197223</v>
      </c>
      <c r="AT60" s="155">
        <f t="shared" ca="1" si="51"/>
        <v>0.99999916847197223</v>
      </c>
      <c r="AU60" s="155">
        <f t="shared" si="52"/>
        <v>0</v>
      </c>
      <c r="AV60" s="155">
        <f t="shared" ca="1" si="53"/>
        <v>0.81315478511521033</v>
      </c>
      <c r="AW60" s="156">
        <f t="shared" ca="1" si="54"/>
        <v>0.81315478511521033</v>
      </c>
      <c r="AX60" s="168">
        <f t="shared" ca="1" si="55"/>
        <v>0.96155624572277709</v>
      </c>
      <c r="AY60" s="169">
        <f t="shared" ca="1" si="56"/>
        <v>0.93517004673103532</v>
      </c>
      <c r="AZ60" s="169">
        <f t="shared" si="57"/>
        <v>0</v>
      </c>
      <c r="BA60" s="155">
        <f t="shared" ca="1" si="61"/>
        <v>0.5877468753327395</v>
      </c>
      <c r="BB60" s="156">
        <f t="shared" ca="1" si="62"/>
        <v>0.5463314043180536</v>
      </c>
      <c r="BC60" s="154">
        <f t="shared" ca="1" si="63"/>
        <v>3.8443754277223019E-2</v>
      </c>
      <c r="BD60" s="155">
        <f t="shared" ca="1" si="64"/>
        <v>0.30506434568509361</v>
      </c>
      <c r="BE60" s="155">
        <f t="shared" ca="1" si="65"/>
        <v>0.29669303244539669</v>
      </c>
      <c r="BF60" s="155">
        <f t="shared" ca="1" si="66"/>
        <v>0</v>
      </c>
      <c r="BG60" s="155">
        <f t="shared" ca="1" si="67"/>
        <v>0.18646919173933998</v>
      </c>
      <c r="BH60" s="156">
        <f t="shared" ca="1" si="68"/>
        <v>0.1733296758529467</v>
      </c>
    </row>
    <row r="61" spans="1:60" x14ac:dyDescent="0.2">
      <c r="A61" s="189">
        <v>2044</v>
      </c>
      <c r="B61" s="667">
        <f t="shared" si="73"/>
        <v>139788.32999999999</v>
      </c>
      <c r="C61" s="668">
        <f t="shared" si="73"/>
        <v>17227.27</v>
      </c>
      <c r="D61" s="668">
        <f t="shared" si="73"/>
        <v>22072.51</v>
      </c>
      <c r="E61" s="668">
        <f t="shared" si="73"/>
        <v>63983.86</v>
      </c>
      <c r="F61" s="668">
        <f t="shared" si="73"/>
        <v>43450.03</v>
      </c>
      <c r="G61" s="669">
        <f t="shared" si="73"/>
        <v>47500.92</v>
      </c>
      <c r="H61" s="826">
        <f t="shared" si="74"/>
        <v>1</v>
      </c>
      <c r="I61" s="827">
        <f t="shared" si="74"/>
        <v>1</v>
      </c>
      <c r="J61" s="827">
        <f t="shared" si="74"/>
        <v>1</v>
      </c>
      <c r="K61" s="827">
        <f t="shared" si="74"/>
        <v>1</v>
      </c>
      <c r="L61" s="827">
        <f t="shared" si="74"/>
        <v>1</v>
      </c>
      <c r="M61" s="828">
        <f t="shared" si="74"/>
        <v>0.82295763950227274</v>
      </c>
      <c r="N61" s="161">
        <f t="shared" si="28"/>
        <v>9394.5492804179212</v>
      </c>
      <c r="O61" s="162">
        <f t="shared" si="29"/>
        <v>6022.9991943536643</v>
      </c>
      <c r="P61" s="162">
        <f t="shared" si="30"/>
        <v>5200.2214918788577</v>
      </c>
      <c r="Q61" s="162">
        <f t="shared" si="31"/>
        <v>5144.9865647930992</v>
      </c>
      <c r="R61" s="162">
        <f t="shared" si="32"/>
        <v>5750.0124430868764</v>
      </c>
      <c r="S61" s="164">
        <f t="shared" si="33"/>
        <v>5426.5771344172426</v>
      </c>
      <c r="T61" s="161">
        <f t="shared" si="34"/>
        <v>3371.5500860642569</v>
      </c>
      <c r="U61" s="162">
        <f t="shared" si="35"/>
        <v>4194.3277885390635</v>
      </c>
      <c r="V61" s="162">
        <f t="shared" si="36"/>
        <v>4249.562715624822</v>
      </c>
      <c r="W61" s="162">
        <f t="shared" si="37"/>
        <v>3644.5368373310448</v>
      </c>
      <c r="X61" s="164">
        <f t="shared" si="38"/>
        <v>3967.9721460006785</v>
      </c>
      <c r="Y61" s="165">
        <f ca="1">IF(AND(Y$22=TRUE,INDEX(CDRANGE_CLS2,MATCH($A61,$A$24:$A$67,0),MATCH(Y$20,$B$20:$G$20,0))&lt;$D$6/OPDAYS_Cls2),86,payback(C61,T61,disc_rate/12,85))</f>
        <v>6</v>
      </c>
      <c r="Z61" s="166">
        <f ca="1">IF(AND(Z$22=TRUE,INDEX(CDRANGE_CLS2,MATCH($A61,$A$24:$A$67,0),MATCH(Z$20,$B$20:$G$20,0))&lt;$D$6/OPDAYS_Cls2),86,payback(D61,U61,disc_rate/12,85))</f>
        <v>6</v>
      </c>
      <c r="AA61" s="166">
        <f>IF(AND(AA$22=TRUE,INDEX(CDRANGE_CLS2,MATCH($A61,$A$24:$A$67,0),MATCH(AA$20,$B$20:$G$20,0))&lt;$D$6/OPDAYS_Cls2),86,payback(E61,V61,disc_rate/12,85))</f>
        <v>86</v>
      </c>
      <c r="AB61" s="166">
        <f ca="1">IF(AND(AB$22=TRUE,INDEX(CDRANGE_CLS2,MATCH($A61,$A$24:$A$67,0),MATCH(AB$20,$B$20:$G$20,0))&lt;$D$6/OPDAYS_Cls2),86,payback(F61,W61,disc_rate/12,85))</f>
        <v>13</v>
      </c>
      <c r="AC61" s="167">
        <f ca="1">IF(AND(AC$22=TRUE,INDEX(CDRANGE_CLS2,MATCH($A61,$A$24:$A$67,0),MATCH(AC$20,$B$20:$G$20,0))&lt;$D$6/OPDAYS_Cls2),86,payback(G61,X61,disc_rate/12,85))</f>
        <v>13</v>
      </c>
      <c r="AD61" s="168">
        <f t="shared" si="39"/>
        <v>0</v>
      </c>
      <c r="AE61" s="169">
        <f t="shared" si="40"/>
        <v>0</v>
      </c>
      <c r="AF61" s="169">
        <f t="shared" si="41"/>
        <v>0</v>
      </c>
      <c r="AG61" s="169">
        <f t="shared" si="42"/>
        <v>0</v>
      </c>
      <c r="AH61" s="170">
        <f t="shared" si="43"/>
        <v>0</v>
      </c>
      <c r="AI61" s="171">
        <f t="shared" si="44"/>
        <v>0.4999998470488865</v>
      </c>
      <c r="AJ61" s="172">
        <f t="shared" si="45"/>
        <v>0.4999998470488865</v>
      </c>
      <c r="AK61" s="172">
        <f t="shared" si="46"/>
        <v>0.4999998470488865</v>
      </c>
      <c r="AL61" s="172">
        <f t="shared" si="47"/>
        <v>0.4999998470488865</v>
      </c>
      <c r="AM61" s="173">
        <f t="shared" si="48"/>
        <v>0.4999998470488865</v>
      </c>
      <c r="AN61" s="171">
        <f t="shared" si="60"/>
        <v>0.95868956263367389</v>
      </c>
      <c r="AO61" s="172">
        <f t="shared" si="60"/>
        <v>0.93308752516416993</v>
      </c>
      <c r="AP61" s="172">
        <f t="shared" si="60"/>
        <v>0.55879949161304809</v>
      </c>
      <c r="AQ61" s="172">
        <f t="shared" si="60"/>
        <v>0.76462393815563079</v>
      </c>
      <c r="AR61" s="445">
        <f t="shared" si="60"/>
        <v>0.72560835751009312</v>
      </c>
      <c r="AS61" s="154">
        <f t="shared" ca="1" si="50"/>
        <v>0.99999969409777301</v>
      </c>
      <c r="AT61" s="155">
        <f t="shared" ca="1" si="51"/>
        <v>0.99999969409777301</v>
      </c>
      <c r="AU61" s="155">
        <f t="shared" si="52"/>
        <v>0</v>
      </c>
      <c r="AV61" s="155">
        <f t="shared" ca="1" si="53"/>
        <v>0.89687189989436622</v>
      </c>
      <c r="AW61" s="156">
        <f t="shared" ca="1" si="54"/>
        <v>0.89687189989436622</v>
      </c>
      <c r="AX61" s="168">
        <f t="shared" ca="1" si="55"/>
        <v>0.95868926936840171</v>
      </c>
      <c r="AY61" s="169">
        <f t="shared" ca="1" si="56"/>
        <v>0.93308723973061802</v>
      </c>
      <c r="AZ61" s="169">
        <f t="shared" si="57"/>
        <v>0</v>
      </c>
      <c r="BA61" s="155">
        <f t="shared" ca="1" si="61"/>
        <v>0.68576972411835302</v>
      </c>
      <c r="BB61" s="156">
        <f t="shared" ca="1" si="62"/>
        <v>0.65077774617930773</v>
      </c>
      <c r="BC61" s="154">
        <f t="shared" ca="1" si="63"/>
        <v>4.1310730631598402E-2</v>
      </c>
      <c r="BD61" s="155">
        <f t="shared" ca="1" si="64"/>
        <v>0.28469420078894353</v>
      </c>
      <c r="BE61" s="155">
        <f t="shared" ca="1" si="65"/>
        <v>0.27709137305404502</v>
      </c>
      <c r="BF61" s="155">
        <f t="shared" ca="1" si="66"/>
        <v>0</v>
      </c>
      <c r="BG61" s="155">
        <f t="shared" ca="1" si="67"/>
        <v>0.20364749014219408</v>
      </c>
      <c r="BH61" s="156">
        <f t="shared" ca="1" si="68"/>
        <v>0.19325620538321894</v>
      </c>
    </row>
    <row r="62" spans="1:60" ht="13.5" thickBot="1" x14ac:dyDescent="0.25">
      <c r="A62" s="174">
        <v>2045</v>
      </c>
      <c r="B62" s="670">
        <f t="shared" si="73"/>
        <v>139788.32999999999</v>
      </c>
      <c r="C62" s="671">
        <f t="shared" si="73"/>
        <v>17748.03</v>
      </c>
      <c r="D62" s="671">
        <f t="shared" si="73"/>
        <v>22372.99</v>
      </c>
      <c r="E62" s="671">
        <f t="shared" si="73"/>
        <v>53232.26</v>
      </c>
      <c r="F62" s="671">
        <f t="shared" si="73"/>
        <v>39812.61</v>
      </c>
      <c r="G62" s="672">
        <f t="shared" si="73"/>
        <v>42979.03</v>
      </c>
      <c r="H62" s="820">
        <f t="shared" si="74"/>
        <v>1</v>
      </c>
      <c r="I62" s="821">
        <f t="shared" si="74"/>
        <v>1</v>
      </c>
      <c r="J62" s="821">
        <f t="shared" si="74"/>
        <v>1</v>
      </c>
      <c r="K62" s="821">
        <f t="shared" si="74"/>
        <v>1</v>
      </c>
      <c r="L62" s="821">
        <f t="shared" si="74"/>
        <v>1</v>
      </c>
      <c r="M62" s="822">
        <f t="shared" si="74"/>
        <v>0.81700833459235456</v>
      </c>
      <c r="N62" s="175">
        <f t="shared" si="28"/>
        <v>9523.0262012337589</v>
      </c>
      <c r="O62" s="176">
        <f t="shared" si="29"/>
        <v>5982.2152252765736</v>
      </c>
      <c r="P62" s="176">
        <f t="shared" si="30"/>
        <v>5120.5996854601553</v>
      </c>
      <c r="Q62" s="176">
        <f t="shared" si="31"/>
        <v>4433.3841179667179</v>
      </c>
      <c r="R62" s="176">
        <f t="shared" si="32"/>
        <v>5428.2795745977983</v>
      </c>
      <c r="S62" s="178">
        <f t="shared" si="33"/>
        <v>5213.4853759538373</v>
      </c>
      <c r="T62" s="175">
        <f t="shared" si="34"/>
        <v>3540.8109759571853</v>
      </c>
      <c r="U62" s="176">
        <f t="shared" si="35"/>
        <v>4402.4265157736036</v>
      </c>
      <c r="V62" s="176">
        <f t="shared" si="36"/>
        <v>5089.642083267041</v>
      </c>
      <c r="W62" s="176">
        <f t="shared" si="37"/>
        <v>4094.7466266359606</v>
      </c>
      <c r="X62" s="178">
        <f t="shared" si="38"/>
        <v>4309.5408252799216</v>
      </c>
      <c r="Y62" s="179">
        <f ca="1">IF(AND(Y$22=TRUE,INDEX(CDRANGE_CLS2,MATCH($A62,$A$24:$A$67,0),MATCH(Y$20,$B$20:$G$20,0))&lt;$D$6/OPDAYS_Cls2),86,payback(C62,T62,disc_rate/12,85))</f>
        <v>6</v>
      </c>
      <c r="Z62" s="180">
        <f ca="1">IF(AND(Z$22=TRUE,INDEX(CDRANGE_CLS2,MATCH($A62,$A$24:$A$67,0),MATCH(Z$20,$B$20:$G$20,0))&lt;$D$6/OPDAYS_Cls2),86,payback(D62,U62,disc_rate/12,85))</f>
        <v>6</v>
      </c>
      <c r="AA62" s="180">
        <f>IF(AND(AA$22=TRUE,INDEX(CDRANGE_CLS2,MATCH($A62,$A$24:$A$67,0),MATCH(AA$20,$B$20:$G$20,0))&lt;$D$6/OPDAYS_Cls2),86,payback(E62,V62,disc_rate/12,85))</f>
        <v>86</v>
      </c>
      <c r="AB62" s="180">
        <f ca="1">IF(AND(AB$22=TRUE,INDEX(CDRANGE_CLS2,MATCH($A62,$A$24:$A$67,0),MATCH(AB$20,$B$20:$G$20,0))&lt;$D$6/OPDAYS_Cls2),86,payback(F62,W62,disc_rate/12,85))</f>
        <v>11</v>
      </c>
      <c r="AC62" s="181">
        <f ca="1">IF(AND(AC$22=TRUE,INDEX(CDRANGE_CLS2,MATCH($A62,$A$24:$A$67,0),MATCH(AC$20,$B$20:$G$20,0))&lt;$D$6/OPDAYS_Cls2),86,payback(G62,X62,disc_rate/12,85))</f>
        <v>11</v>
      </c>
      <c r="AD62" s="182">
        <f t="shared" si="39"/>
        <v>0</v>
      </c>
      <c r="AE62" s="183">
        <f t="shared" si="40"/>
        <v>0</v>
      </c>
      <c r="AF62" s="183">
        <f t="shared" si="41"/>
        <v>0</v>
      </c>
      <c r="AG62" s="183">
        <f t="shared" si="42"/>
        <v>0</v>
      </c>
      <c r="AH62" s="184">
        <f t="shared" si="43"/>
        <v>0</v>
      </c>
      <c r="AI62" s="185">
        <f t="shared" si="44"/>
        <v>0.49999994373241896</v>
      </c>
      <c r="AJ62" s="186">
        <f t="shared" si="45"/>
        <v>0.49999994373241896</v>
      </c>
      <c r="AK62" s="186">
        <f t="shared" si="46"/>
        <v>0.49999994373241896</v>
      </c>
      <c r="AL62" s="186">
        <f t="shared" si="47"/>
        <v>0.49999994373241896</v>
      </c>
      <c r="AM62" s="187">
        <f t="shared" si="48"/>
        <v>0.49999994373241896</v>
      </c>
      <c r="AN62" s="185">
        <f t="shared" si="60"/>
        <v>0.95621059629458161</v>
      </c>
      <c r="AO62" s="186">
        <f t="shared" si="60"/>
        <v>0.93131778609603133</v>
      </c>
      <c r="AP62" s="186">
        <f t="shared" si="60"/>
        <v>0.66843584696979552</v>
      </c>
      <c r="AQ62" s="186">
        <f t="shared" si="60"/>
        <v>0.79826188464004932</v>
      </c>
      <c r="AR62" s="446">
        <f t="shared" si="60"/>
        <v>0.76906146957256838</v>
      </c>
      <c r="AS62" s="677">
        <f t="shared" ca="1" si="50"/>
        <v>0.99999988746483792</v>
      </c>
      <c r="AT62" s="678">
        <f t="shared" ca="1" si="51"/>
        <v>0.99999988746483792</v>
      </c>
      <c r="AU62" s="678">
        <f t="shared" si="52"/>
        <v>0</v>
      </c>
      <c r="AV62" s="678">
        <f t="shared" ca="1" si="53"/>
        <v>0.94233232011097656</v>
      </c>
      <c r="AW62" s="679">
        <f t="shared" ca="1" si="54"/>
        <v>0.94233232011097656</v>
      </c>
      <c r="AX62" s="182">
        <f t="shared" ca="1" si="55"/>
        <v>0.95621048868726721</v>
      </c>
      <c r="AY62" s="183">
        <f t="shared" ca="1" si="56"/>
        <v>0.93131768129003334</v>
      </c>
      <c r="AZ62" s="183">
        <f t="shared" si="57"/>
        <v>0</v>
      </c>
      <c r="BA62" s="183">
        <f t="shared" ca="1" si="61"/>
        <v>0.7522279738090184</v>
      </c>
      <c r="BB62" s="184">
        <f t="shared" ca="1" si="62"/>
        <v>0.72471147893027554</v>
      </c>
      <c r="BC62" s="182">
        <f t="shared" ca="1" si="63"/>
        <v>4.3789511312732787E-2</v>
      </c>
      <c r="BD62" s="183">
        <f t="shared" ca="1" si="64"/>
        <v>0.27176320333773107</v>
      </c>
      <c r="BE62" s="183">
        <f t="shared" ca="1" si="65"/>
        <v>0.2646884544635279</v>
      </c>
      <c r="BF62" s="183">
        <f t="shared" ca="1" si="66"/>
        <v>0</v>
      </c>
      <c r="BG62" s="183">
        <f t="shared" ca="1" si="67"/>
        <v>0.21378962709689403</v>
      </c>
      <c r="BH62" s="184">
        <f t="shared" ca="1" si="68"/>
        <v>0.20596920378911424</v>
      </c>
    </row>
    <row r="63" spans="1:60" x14ac:dyDescent="0.2">
      <c r="A63" s="190">
        <v>2046</v>
      </c>
      <c r="B63" s="673">
        <f t="shared" si="73"/>
        <v>139788.32999999999</v>
      </c>
      <c r="C63" s="674">
        <f t="shared" si="73"/>
        <v>18144.23</v>
      </c>
      <c r="D63" s="674">
        <f t="shared" si="73"/>
        <v>22601.599999999999</v>
      </c>
      <c r="E63" s="674">
        <f t="shared" si="73"/>
        <v>45052.19</v>
      </c>
      <c r="F63" s="674">
        <f t="shared" si="73"/>
        <v>37045.18</v>
      </c>
      <c r="G63" s="675">
        <f t="shared" si="73"/>
        <v>39538.67</v>
      </c>
      <c r="H63" s="823">
        <f t="shared" si="74"/>
        <v>1</v>
      </c>
      <c r="I63" s="824">
        <f t="shared" si="74"/>
        <v>1</v>
      </c>
      <c r="J63" s="824">
        <f t="shared" si="74"/>
        <v>1</v>
      </c>
      <c r="K63" s="824">
        <f t="shared" si="74"/>
        <v>1</v>
      </c>
      <c r="L63" s="824">
        <f t="shared" si="74"/>
        <v>1</v>
      </c>
      <c r="M63" s="825">
        <f t="shared" si="74"/>
        <v>0.81248196027968089</v>
      </c>
      <c r="N63" s="147">
        <f t="shared" si="28"/>
        <v>9528.1711977236428</v>
      </c>
      <c r="O63" s="148">
        <f t="shared" si="29"/>
        <v>5895.0673849274954</v>
      </c>
      <c r="P63" s="148">
        <f t="shared" si="30"/>
        <v>5014.3522431070642</v>
      </c>
      <c r="Q63" s="148">
        <f t="shared" si="31"/>
        <v>3931.2656459462337</v>
      </c>
      <c r="R63" s="148">
        <f t="shared" si="32"/>
        <v>5163.6046568163983</v>
      </c>
      <c r="S63" s="150">
        <f t="shared" si="33"/>
        <v>5015.5293879566379</v>
      </c>
      <c r="T63" s="147">
        <f t="shared" si="34"/>
        <v>3633.1038127961474</v>
      </c>
      <c r="U63" s="148">
        <f t="shared" si="35"/>
        <v>4513.8189546165786</v>
      </c>
      <c r="V63" s="148">
        <f t="shared" si="36"/>
        <v>5596.9055517774086</v>
      </c>
      <c r="W63" s="148">
        <f t="shared" si="37"/>
        <v>4364.5665409072444</v>
      </c>
      <c r="X63" s="150">
        <f t="shared" si="38"/>
        <v>4512.6418097670048</v>
      </c>
      <c r="Y63" s="151">
        <f ca="1">IF(AND(Y$22=TRUE,INDEX(CDRANGE_CLS2,MATCH($A63,$A$24:$A$67,0),MATCH(Y$20,$B$20:$G$20,0))&lt;$D$6/OPDAYS_Cls2),86,payback(C63,T63,disc_rate/12,85))</f>
        <v>6</v>
      </c>
      <c r="Z63" s="152">
        <f ca="1">IF(AND(Z$22=TRUE,INDEX(CDRANGE_CLS2,MATCH($A63,$A$24:$A$67,0),MATCH(Z$20,$B$20:$G$20,0))&lt;$D$6/OPDAYS_Cls2),86,payback(D63,U63,disc_rate/12,85))</f>
        <v>6</v>
      </c>
      <c r="AA63" s="152">
        <f>IF(AND(AA$22=TRUE,INDEX(CDRANGE_CLS2,MATCH($A63,$A$24:$A$67,0),MATCH(AA$20,$B$20:$G$20,0))&lt;$D$6/OPDAYS_Cls2),86,payback(E63,V63,disc_rate/12,85))</f>
        <v>86</v>
      </c>
      <c r="AB63" s="152">
        <f ca="1">IF(AND(AB$22=TRUE,INDEX(CDRANGE_CLS2,MATCH($A63,$A$24:$A$67,0),MATCH(AB$20,$B$20:$G$20,0))&lt;$D$6/OPDAYS_Cls2),86,payback(F63,W63,disc_rate/12,85))</f>
        <v>9</v>
      </c>
      <c r="AC63" s="153">
        <f ca="1">IF(AND(AC$22=TRUE,INDEX(CDRANGE_CLS2,MATCH($A63,$A$24:$A$67,0),MATCH(AC$20,$B$20:$G$20,0))&lt;$D$6/OPDAYS_Cls2),86,payback(G63,X63,disc_rate/12,85))</f>
        <v>10</v>
      </c>
      <c r="AD63" s="154">
        <f t="shared" si="39"/>
        <v>0</v>
      </c>
      <c r="AE63" s="155">
        <f t="shared" si="40"/>
        <v>0</v>
      </c>
      <c r="AF63" s="155">
        <f t="shared" si="41"/>
        <v>0</v>
      </c>
      <c r="AG63" s="155">
        <f t="shared" si="42"/>
        <v>0</v>
      </c>
      <c r="AH63" s="156">
        <f t="shared" si="43"/>
        <v>0</v>
      </c>
      <c r="AI63" s="157">
        <f t="shared" si="44"/>
        <v>0.4999999793003122</v>
      </c>
      <c r="AJ63" s="158">
        <f t="shared" si="45"/>
        <v>0.4999999793003122</v>
      </c>
      <c r="AK63" s="158">
        <f t="shared" si="46"/>
        <v>0.4999999793003122</v>
      </c>
      <c r="AL63" s="158">
        <f t="shared" si="47"/>
        <v>0.4999999793003122</v>
      </c>
      <c r="AM63" s="159">
        <f t="shared" si="48"/>
        <v>0.4999999793003122</v>
      </c>
      <c r="AN63" s="157">
        <f t="shared" si="60"/>
        <v>0.95427958146930281</v>
      </c>
      <c r="AO63" s="158">
        <f t="shared" si="60"/>
        <v>0.9299575989586355</v>
      </c>
      <c r="AP63" s="158">
        <f t="shared" si="60"/>
        <v>0.74936606417267759</v>
      </c>
      <c r="AQ63" s="158">
        <f t="shared" si="60"/>
        <v>0.82276649156917925</v>
      </c>
      <c r="AR63" s="458">
        <f t="shared" si="60"/>
        <v>0.80073236619218069</v>
      </c>
      <c r="AS63" s="484">
        <f t="shared" ca="1" si="50"/>
        <v>0.99999995860062441</v>
      </c>
      <c r="AT63" s="485">
        <f t="shared" ca="1" si="51"/>
        <v>0.99999995860062441</v>
      </c>
      <c r="AU63" s="485">
        <f t="shared" si="52"/>
        <v>0</v>
      </c>
      <c r="AV63" s="485">
        <f t="shared" ca="1" si="53"/>
        <v>0.97659513127389064</v>
      </c>
      <c r="AW63" s="486">
        <f t="shared" ca="1" si="54"/>
        <v>0.96103045214177296</v>
      </c>
      <c r="AX63" s="154">
        <f t="shared" ca="1" si="55"/>
        <v>0.95427954196272402</v>
      </c>
      <c r="AY63" s="155">
        <f t="shared" ca="1" si="56"/>
        <v>0.9299575604589716</v>
      </c>
      <c r="AZ63" s="155">
        <f t="shared" si="57"/>
        <v>0</v>
      </c>
      <c r="BA63" s="155">
        <f t="shared" ca="1" si="61"/>
        <v>0.80350974984176105</v>
      </c>
      <c r="BB63" s="156">
        <f t="shared" ca="1" si="62"/>
        <v>0.76952818792622313</v>
      </c>
      <c r="BC63" s="154">
        <f t="shared" ca="1" si="63"/>
        <v>4.572045803727609E-2</v>
      </c>
      <c r="BD63" s="155">
        <f t="shared" ca="1" si="64"/>
        <v>0.26340092518604608</v>
      </c>
      <c r="BE63" s="155">
        <f t="shared" ca="1" si="65"/>
        <v>0.25668755436676838</v>
      </c>
      <c r="BF63" s="155">
        <f t="shared" ca="1" si="66"/>
        <v>0</v>
      </c>
      <c r="BG63" s="155">
        <f t="shared" ca="1" si="67"/>
        <v>0.2217853387792689</v>
      </c>
      <c r="BH63" s="156">
        <f t="shared" ca="1" si="68"/>
        <v>0.21240572363064064</v>
      </c>
    </row>
    <row r="64" spans="1:60" x14ac:dyDescent="0.2">
      <c r="A64" s="189">
        <v>2047</v>
      </c>
      <c r="B64" s="667">
        <f t="shared" si="73"/>
        <v>139788.32999999999</v>
      </c>
      <c r="C64" s="668">
        <f t="shared" si="73"/>
        <v>18423.919999999998</v>
      </c>
      <c r="D64" s="668">
        <f t="shared" si="73"/>
        <v>22762.97</v>
      </c>
      <c r="E64" s="668">
        <f t="shared" si="73"/>
        <v>39277.85</v>
      </c>
      <c r="F64" s="668">
        <f t="shared" si="73"/>
        <v>35091.629999999997</v>
      </c>
      <c r="G64" s="669">
        <f t="shared" si="73"/>
        <v>37110.11</v>
      </c>
      <c r="H64" s="826">
        <f t="shared" si="74"/>
        <v>1</v>
      </c>
      <c r="I64" s="827">
        <f t="shared" si="74"/>
        <v>1</v>
      </c>
      <c r="J64" s="827">
        <f t="shared" si="74"/>
        <v>1</v>
      </c>
      <c r="K64" s="827">
        <f t="shared" si="74"/>
        <v>1</v>
      </c>
      <c r="L64" s="827">
        <f t="shared" si="74"/>
        <v>1</v>
      </c>
      <c r="M64" s="828">
        <f t="shared" si="74"/>
        <v>0.80928677917828451</v>
      </c>
      <c r="N64" s="161">
        <f t="shared" si="28"/>
        <v>9616.5831996387733</v>
      </c>
      <c r="O64" s="162">
        <f t="shared" si="29"/>
        <v>5887.1217190671532</v>
      </c>
      <c r="P64" s="162">
        <f t="shared" si="30"/>
        <v>4986.080872273973</v>
      </c>
      <c r="Q64" s="162">
        <f t="shared" si="31"/>
        <v>3632.2088229061328</v>
      </c>
      <c r="R64" s="162">
        <f t="shared" si="32"/>
        <v>4944.0501891299837</v>
      </c>
      <c r="S64" s="164">
        <f t="shared" si="33"/>
        <v>4924.318570632764</v>
      </c>
      <c r="T64" s="161">
        <f t="shared" si="34"/>
        <v>3729.4614805716201</v>
      </c>
      <c r="U64" s="162">
        <f t="shared" si="35"/>
        <v>4630.5023273648003</v>
      </c>
      <c r="V64" s="162">
        <f t="shared" si="36"/>
        <v>5984.3743767326405</v>
      </c>
      <c r="W64" s="162">
        <f t="shared" si="37"/>
        <v>4672.5330105087896</v>
      </c>
      <c r="X64" s="164">
        <f t="shared" si="38"/>
        <v>4692.2646290060093</v>
      </c>
      <c r="Y64" s="165">
        <f ca="1">IF(AND(Y$22=TRUE,INDEX(CDRANGE_CLS2,MATCH($A64,$A$24:$A$67,0),MATCH(Y$20,$B$20:$G$20,0))&lt;$D$6/OPDAYS_Cls2),86,payback(C64,T64,disc_rate/12,85))</f>
        <v>6</v>
      </c>
      <c r="Z64" s="166">
        <f ca="1">IF(AND(Z$22=TRUE,INDEX(CDRANGE_CLS2,MATCH($A64,$A$24:$A$67,0),MATCH(Z$20,$B$20:$G$20,0))&lt;$D$6/OPDAYS_Cls2),86,payback(D64,U64,disc_rate/12,85))</f>
        <v>6</v>
      </c>
      <c r="AA64" s="166">
        <f>IF(AND(AA$22=TRUE,INDEX(CDRANGE_CLS2,MATCH($A64,$A$24:$A$67,0),MATCH(AA$20,$B$20:$G$20,0))&lt;$D$6/OPDAYS_Cls2),86,payback(E64,V64,disc_rate/12,85))</f>
        <v>86</v>
      </c>
      <c r="AB64" s="166">
        <f ca="1">IF(AND(AB$22=TRUE,INDEX(CDRANGE_CLS2,MATCH($A64,$A$24:$A$67,0),MATCH(AB$20,$B$20:$G$20,0))&lt;$D$6/OPDAYS_Cls2),86,payback(F64,W64,disc_rate/12,85))</f>
        <v>8</v>
      </c>
      <c r="AC64" s="167">
        <f ca="1">IF(AND(AC$22=TRUE,INDEX(CDRANGE_CLS2,MATCH($A64,$A$24:$A$67,0),MATCH(AC$20,$B$20:$G$20,0))&lt;$D$6/OPDAYS_Cls2),86,payback(G64,X64,disc_rate/12,85))</f>
        <v>9</v>
      </c>
      <c r="AD64" s="168">
        <f t="shared" si="39"/>
        <v>0</v>
      </c>
      <c r="AE64" s="169">
        <f t="shared" si="40"/>
        <v>0</v>
      </c>
      <c r="AF64" s="169">
        <f t="shared" si="41"/>
        <v>0</v>
      </c>
      <c r="AG64" s="169">
        <f t="shared" si="42"/>
        <v>0</v>
      </c>
      <c r="AH64" s="170">
        <f t="shared" si="43"/>
        <v>0</v>
      </c>
      <c r="AI64" s="171">
        <f t="shared" si="44"/>
        <v>0.49999999238501025</v>
      </c>
      <c r="AJ64" s="172">
        <f t="shared" si="45"/>
        <v>0.49999999238501025</v>
      </c>
      <c r="AK64" s="172">
        <f t="shared" si="46"/>
        <v>0.49999999238501025</v>
      </c>
      <c r="AL64" s="172">
        <f t="shared" si="47"/>
        <v>0.49999999238501025</v>
      </c>
      <c r="AM64" s="173">
        <f t="shared" si="48"/>
        <v>0.49999999238501025</v>
      </c>
      <c r="AN64" s="171">
        <f t="shared" si="60"/>
        <v>0.95289315911149519</v>
      </c>
      <c r="AO64" s="172">
        <f t="shared" si="60"/>
        <v>0.92899036293822745</v>
      </c>
      <c r="AP64" s="172">
        <f t="shared" si="60"/>
        <v>0.80307570941633388</v>
      </c>
      <c r="AQ64" s="172">
        <f t="shared" si="60"/>
        <v>0.83941483439640718</v>
      </c>
      <c r="AR64" s="445">
        <f t="shared" si="60"/>
        <v>0.82220353980528493</v>
      </c>
      <c r="AS64" s="154">
        <f t="shared" ca="1" si="50"/>
        <v>0.9999999847700205</v>
      </c>
      <c r="AT64" s="155">
        <f t="shared" ca="1" si="51"/>
        <v>0.9999999847700205</v>
      </c>
      <c r="AU64" s="155">
        <f t="shared" si="52"/>
        <v>0</v>
      </c>
      <c r="AV64" s="155">
        <f t="shared" ca="1" si="53"/>
        <v>0.98864994495669778</v>
      </c>
      <c r="AW64" s="156">
        <f t="shared" ca="1" si="54"/>
        <v>0.97659515683079656</v>
      </c>
      <c r="AX64" s="168">
        <f t="shared" ca="1" si="55"/>
        <v>0.95289314459895191</v>
      </c>
      <c r="AY64" s="169">
        <f t="shared" ca="1" si="56"/>
        <v>0.92899034878972331</v>
      </c>
      <c r="AZ64" s="169">
        <f t="shared" si="57"/>
        <v>0</v>
      </c>
      <c r="BA64" s="155">
        <f t="shared" ca="1" si="61"/>
        <v>0.82988742982184349</v>
      </c>
      <c r="BB64" s="156">
        <f t="shared" ca="1" si="62"/>
        <v>0.80295999490297831</v>
      </c>
      <c r="BC64" s="154">
        <f t="shared" ca="1" si="63"/>
        <v>4.7106855401047976E-2</v>
      </c>
      <c r="BD64" s="155">
        <f t="shared" ca="1" si="64"/>
        <v>0.25834277678105827</v>
      </c>
      <c r="BE64" s="155">
        <f t="shared" ca="1" si="65"/>
        <v>0.2518623915697808</v>
      </c>
      <c r="BF64" s="155">
        <f t="shared" ca="1" si="66"/>
        <v>0</v>
      </c>
      <c r="BG64" s="155">
        <f t="shared" ca="1" si="67"/>
        <v>0.22499419189976877</v>
      </c>
      <c r="BH64" s="156">
        <f t="shared" ca="1" si="68"/>
        <v>0.21769378434834422</v>
      </c>
    </row>
    <row r="65" spans="1:60" x14ac:dyDescent="0.2">
      <c r="A65" s="189">
        <v>2048</v>
      </c>
      <c r="B65" s="667">
        <f t="shared" si="73"/>
        <v>139788.32999999999</v>
      </c>
      <c r="C65" s="668">
        <f t="shared" si="73"/>
        <v>18611.07</v>
      </c>
      <c r="D65" s="668">
        <f t="shared" si="73"/>
        <v>22870.959999999999</v>
      </c>
      <c r="E65" s="668">
        <f t="shared" si="73"/>
        <v>35413.94</v>
      </c>
      <c r="F65" s="668">
        <f t="shared" si="73"/>
        <v>33784.42</v>
      </c>
      <c r="G65" s="669">
        <f t="shared" si="73"/>
        <v>35485.040000000001</v>
      </c>
      <c r="H65" s="826">
        <f t="shared" si="74"/>
        <v>1</v>
      </c>
      <c r="I65" s="827">
        <f t="shared" si="74"/>
        <v>1</v>
      </c>
      <c r="J65" s="827">
        <f t="shared" si="74"/>
        <v>1</v>
      </c>
      <c r="K65" s="827">
        <f t="shared" si="74"/>
        <v>1</v>
      </c>
      <c r="L65" s="827">
        <f t="shared" si="74"/>
        <v>1</v>
      </c>
      <c r="M65" s="828">
        <f t="shared" si="74"/>
        <v>0.80714871606827898</v>
      </c>
      <c r="N65" s="161">
        <f t="shared" si="28"/>
        <v>9697.6501456658043</v>
      </c>
      <c r="O65" s="162">
        <f t="shared" si="29"/>
        <v>5895.328722530784</v>
      </c>
      <c r="P65" s="162">
        <f t="shared" si="30"/>
        <v>4978.9698390501244</v>
      </c>
      <c r="Q65" s="162">
        <f t="shared" si="31"/>
        <v>3478.8504414766066</v>
      </c>
      <c r="R65" s="162">
        <f t="shared" si="32"/>
        <v>4756.5186929053743</v>
      </c>
      <c r="S65" s="164">
        <f t="shared" si="33"/>
        <v>4881.5352755433223</v>
      </c>
      <c r="T65" s="161">
        <f t="shared" si="34"/>
        <v>3802.3214231350203</v>
      </c>
      <c r="U65" s="162">
        <f t="shared" si="35"/>
        <v>4718.6803066156799</v>
      </c>
      <c r="V65" s="162">
        <f t="shared" si="36"/>
        <v>6218.7997041891977</v>
      </c>
      <c r="W65" s="162">
        <f t="shared" si="37"/>
        <v>4941.13145276043</v>
      </c>
      <c r="X65" s="164">
        <f t="shared" si="38"/>
        <v>4816.114870122482</v>
      </c>
      <c r="Y65" s="165">
        <f ca="1">IF(AND(Y$22=TRUE,INDEX(CDRANGE_CLS2,MATCH($A65,$A$24:$A$67,0),MATCH(Y$20,$B$20:$G$20,0))&lt;$D$6/OPDAYS_Cls2),86,payback(C65,T65,disc_rate/12,85))</f>
        <v>5</v>
      </c>
      <c r="Z65" s="166">
        <f ca="1">IF(AND(Z$22=TRUE,INDEX(CDRANGE_CLS2,MATCH($A65,$A$24:$A$67,0),MATCH(Z$20,$B$20:$G$20,0))&lt;$D$6/OPDAYS_Cls2),86,payback(D65,U65,disc_rate/12,85))</f>
        <v>5</v>
      </c>
      <c r="AA65" s="166">
        <f>IF(AND(AA$22=TRUE,INDEX(CDRANGE_CLS2,MATCH($A65,$A$24:$A$67,0),MATCH(AA$20,$B$20:$G$20,0))&lt;$D$6/OPDAYS_Cls2),86,payback(E65,V65,disc_rate/12,85))</f>
        <v>86</v>
      </c>
      <c r="AB65" s="166">
        <f ca="1">IF(AND(AB$22=TRUE,INDEX(CDRANGE_CLS2,MATCH($A65,$A$24:$A$67,0),MATCH(AB$20,$B$20:$G$20,0))&lt;$D$6/OPDAYS_Cls2),86,payback(F65,W65,disc_rate/12,85))</f>
        <v>8</v>
      </c>
      <c r="AC65" s="167">
        <f ca="1">IF(AND(AC$22=TRUE,INDEX(CDRANGE_CLS2,MATCH($A65,$A$24:$A$67,0),MATCH(AC$20,$B$20:$G$20,0))&lt;$D$6/OPDAYS_Cls2),86,payback(G65,X65,disc_rate/12,85))</f>
        <v>8</v>
      </c>
      <c r="AD65" s="168">
        <f t="shared" si="39"/>
        <v>0</v>
      </c>
      <c r="AE65" s="169">
        <f t="shared" si="40"/>
        <v>0</v>
      </c>
      <c r="AF65" s="169">
        <f t="shared" si="41"/>
        <v>0</v>
      </c>
      <c r="AG65" s="169">
        <f t="shared" si="42"/>
        <v>0</v>
      </c>
      <c r="AH65" s="170">
        <f t="shared" si="43"/>
        <v>0</v>
      </c>
      <c r="AI65" s="171">
        <f t="shared" si="44"/>
        <v>0.49999999719860178</v>
      </c>
      <c r="AJ65" s="172">
        <f t="shared" si="45"/>
        <v>0.49999999719860178</v>
      </c>
      <c r="AK65" s="172">
        <f t="shared" si="46"/>
        <v>0.49999999719860178</v>
      </c>
      <c r="AL65" s="172">
        <f t="shared" si="47"/>
        <v>0.49999999719860178</v>
      </c>
      <c r="AM65" s="173">
        <f t="shared" si="48"/>
        <v>0.49999999719860178</v>
      </c>
      <c r="AN65" s="171">
        <f t="shared" si="60"/>
        <v>0.95195475909637994</v>
      </c>
      <c r="AO65" s="172">
        <f t="shared" si="60"/>
        <v>0.92833980470344135</v>
      </c>
      <c r="AP65" s="172">
        <f t="shared" si="60"/>
        <v>0.83670758518362243</v>
      </c>
      <c r="AQ65" s="172">
        <f t="shared" si="60"/>
        <v>0.85022738339535486</v>
      </c>
      <c r="AR65" s="445">
        <f t="shared" si="60"/>
        <v>0.83610823124192335</v>
      </c>
      <c r="AS65" s="154">
        <f t="shared" ca="1" si="50"/>
        <v>0.99999999439720355</v>
      </c>
      <c r="AT65" s="155">
        <f t="shared" ca="1" si="51"/>
        <v>0.99999999439720355</v>
      </c>
      <c r="AU65" s="155">
        <f t="shared" si="52"/>
        <v>0</v>
      </c>
      <c r="AV65" s="155">
        <f t="shared" ca="1" si="53"/>
        <v>0.9886499544746119</v>
      </c>
      <c r="AW65" s="156">
        <f t="shared" ca="1" si="54"/>
        <v>0.9886499544746119</v>
      </c>
      <c r="AX65" s="168">
        <f t="shared" ca="1" si="55"/>
        <v>0.95195475376277117</v>
      </c>
      <c r="AY65" s="169">
        <f t="shared" ca="1" si="56"/>
        <v>0.9283397995021424</v>
      </c>
      <c r="AZ65" s="169">
        <f t="shared" si="57"/>
        <v>0</v>
      </c>
      <c r="BA65" s="155">
        <f t="shared" ca="1" si="61"/>
        <v>0.84057726388688603</v>
      </c>
      <c r="BB65" s="156">
        <f t="shared" ca="1" si="62"/>
        <v>0.82661836475317585</v>
      </c>
      <c r="BC65" s="154">
        <f t="shared" ca="1" si="63"/>
        <v>4.8045246237228945E-2</v>
      </c>
      <c r="BD65" s="155">
        <f t="shared" ca="1" si="64"/>
        <v>0.25545323785079682</v>
      </c>
      <c r="BE65" s="155">
        <f t="shared" ca="1" si="65"/>
        <v>0.24911625964491937</v>
      </c>
      <c r="BF65" s="155">
        <f t="shared" ca="1" si="66"/>
        <v>0</v>
      </c>
      <c r="BG65" s="155">
        <f t="shared" ca="1" si="67"/>
        <v>0.22556553541533064</v>
      </c>
      <c r="BH65" s="156">
        <f t="shared" ca="1" si="68"/>
        <v>0.22181972085172422</v>
      </c>
    </row>
    <row r="66" spans="1:60" x14ac:dyDescent="0.2">
      <c r="A66" s="189">
        <v>2049</v>
      </c>
      <c r="B66" s="667">
        <f t="shared" si="73"/>
        <v>139788.32999999999</v>
      </c>
      <c r="C66" s="668">
        <f t="shared" si="73"/>
        <v>18731.86</v>
      </c>
      <c r="D66" s="668">
        <f t="shared" si="73"/>
        <v>22940.66</v>
      </c>
      <c r="E66" s="668">
        <f t="shared" si="73"/>
        <v>32920.050000000003</v>
      </c>
      <c r="F66" s="668">
        <f t="shared" si="73"/>
        <v>32940.699999999997</v>
      </c>
      <c r="G66" s="669">
        <f t="shared" si="73"/>
        <v>34436.160000000003</v>
      </c>
      <c r="H66" s="826">
        <f t="shared" si="74"/>
        <v>1</v>
      </c>
      <c r="I66" s="827">
        <f t="shared" si="74"/>
        <v>1</v>
      </c>
      <c r="J66" s="827">
        <f t="shared" si="74"/>
        <v>1</v>
      </c>
      <c r="K66" s="827">
        <f t="shared" si="74"/>
        <v>1</v>
      </c>
      <c r="L66" s="827">
        <f t="shared" si="74"/>
        <v>1</v>
      </c>
      <c r="M66" s="828">
        <f t="shared" si="74"/>
        <v>0.80576874088256578</v>
      </c>
      <c r="N66" s="161">
        <f t="shared" si="28"/>
        <v>9756.4820047924422</v>
      </c>
      <c r="O66" s="162">
        <f t="shared" si="29"/>
        <v>5904.6253508184491</v>
      </c>
      <c r="P66" s="162">
        <f t="shared" si="30"/>
        <v>4977.8771816657681</v>
      </c>
      <c r="Q66" s="162">
        <f t="shared" si="31"/>
        <v>3398.3640582660878</v>
      </c>
      <c r="R66" s="162">
        <f t="shared" si="32"/>
        <v>4590.1927725414926</v>
      </c>
      <c r="S66" s="164">
        <f t="shared" si="33"/>
        <v>4860.2169252025788</v>
      </c>
      <c r="T66" s="161">
        <f t="shared" si="34"/>
        <v>3851.8566539739932</v>
      </c>
      <c r="U66" s="162">
        <f t="shared" si="35"/>
        <v>4778.6048231266741</v>
      </c>
      <c r="V66" s="162">
        <f t="shared" si="36"/>
        <v>6358.117946526354</v>
      </c>
      <c r="W66" s="162">
        <f t="shared" si="37"/>
        <v>5166.2892322509497</v>
      </c>
      <c r="X66" s="164">
        <f t="shared" si="38"/>
        <v>4896.2650795898635</v>
      </c>
      <c r="Y66" s="165">
        <f ca="1">IF(AND(Y$22=TRUE,INDEX(CDRANGE_CLS2,MATCH($A66,$A$24:$A$67,0),MATCH(Y$20,$B$20:$G$20,0))&lt;$D$6/OPDAYS_Cls2),86,payback(C66,T66,disc_rate/12,85))</f>
        <v>5</v>
      </c>
      <c r="Z66" s="166">
        <f ca="1">IF(AND(Z$22=TRUE,INDEX(CDRANGE_CLS2,MATCH($A66,$A$24:$A$67,0),MATCH(Z$20,$B$20:$G$20,0))&lt;$D$6/OPDAYS_Cls2),86,payback(D66,U66,disc_rate/12,85))</f>
        <v>5</v>
      </c>
      <c r="AA66" s="166">
        <f>IF(AND(AA$22=TRUE,INDEX(CDRANGE_CLS2,MATCH($A66,$A$24:$A$67,0),MATCH(AA$20,$B$20:$G$20,0))&lt;$D$6/OPDAYS_Cls2),86,payback(E66,V66,disc_rate/12,85))</f>
        <v>86</v>
      </c>
      <c r="AB66" s="166">
        <f ca="1">IF(AND(AB$22=TRUE,INDEX(CDRANGE_CLS2,MATCH($A66,$A$24:$A$67,0),MATCH(AB$20,$B$20:$G$20,0))&lt;$D$6/OPDAYS_Cls2),86,payback(F66,W66,disc_rate/12,85))</f>
        <v>7</v>
      </c>
      <c r="AC66" s="167">
        <f ca="1">IF(AND(AC$22=TRUE,INDEX(CDRANGE_CLS2,MATCH($A66,$A$24:$A$67,0),MATCH(AC$20,$B$20:$G$20,0))&lt;$D$6/OPDAYS_Cls2),86,payback(G66,X66,disc_rate/12,85))</f>
        <v>8</v>
      </c>
      <c r="AD66" s="168">
        <f t="shared" si="39"/>
        <v>0</v>
      </c>
      <c r="AE66" s="169">
        <f t="shared" si="40"/>
        <v>0</v>
      </c>
      <c r="AF66" s="169">
        <f t="shared" si="41"/>
        <v>0</v>
      </c>
      <c r="AG66" s="169">
        <f t="shared" si="42"/>
        <v>0</v>
      </c>
      <c r="AH66" s="170">
        <f t="shared" si="43"/>
        <v>0</v>
      </c>
      <c r="AI66" s="171">
        <f t="shared" si="44"/>
        <v>0.49999999896942315</v>
      </c>
      <c r="AJ66" s="172">
        <f t="shared" si="45"/>
        <v>0.49999999896942315</v>
      </c>
      <c r="AK66" s="172">
        <f t="shared" si="46"/>
        <v>0.49999999896942315</v>
      </c>
      <c r="AL66" s="172">
        <f t="shared" si="47"/>
        <v>0.49999999896942315</v>
      </c>
      <c r="AM66" s="173">
        <f t="shared" si="48"/>
        <v>0.49999999896942315</v>
      </c>
      <c r="AN66" s="171">
        <f t="shared" si="60"/>
        <v>0.95134455921420857</v>
      </c>
      <c r="AO66" s="172">
        <f t="shared" si="60"/>
        <v>0.92791852308925948</v>
      </c>
      <c r="AP66" s="172">
        <f t="shared" si="60"/>
        <v>0.85722461688429574</v>
      </c>
      <c r="AQ66" s="172">
        <f t="shared" si="60"/>
        <v>0.85705890446889577</v>
      </c>
      <c r="AR66" s="445">
        <f t="shared" si="60"/>
        <v>0.84487054184403265</v>
      </c>
      <c r="AS66" s="154">
        <f t="shared" ca="1" si="50"/>
        <v>0.99999999793884631</v>
      </c>
      <c r="AT66" s="155">
        <f t="shared" ca="1" si="51"/>
        <v>0.99999999793884631</v>
      </c>
      <c r="AU66" s="155">
        <f t="shared" si="52"/>
        <v>0</v>
      </c>
      <c r="AV66" s="155">
        <f t="shared" ca="1" si="53"/>
        <v>0.99672728335262162</v>
      </c>
      <c r="AW66" s="156">
        <f t="shared" ca="1" si="54"/>
        <v>0.98864995797605693</v>
      </c>
      <c r="AX66" s="168">
        <f t="shared" ca="1" si="55"/>
        <v>0.95134455725334122</v>
      </c>
      <c r="AY66" s="169">
        <f t="shared" ca="1" si="56"/>
        <v>0.92791852117667684</v>
      </c>
      <c r="AZ66" s="169">
        <f t="shared" si="57"/>
        <v>0</v>
      </c>
      <c r="BA66" s="155">
        <f t="shared" ca="1" si="61"/>
        <v>0.85425399352445652</v>
      </c>
      <c r="BB66" s="156">
        <f t="shared" ca="1" si="62"/>
        <v>0.83528122568931129</v>
      </c>
      <c r="BC66" s="154">
        <f t="shared" ca="1" si="63"/>
        <v>4.8655442746658784E-2</v>
      </c>
      <c r="BD66" s="155">
        <f t="shared" ca="1" si="64"/>
        <v>0.25360258303561112</v>
      </c>
      <c r="BE66" s="155">
        <f t="shared" ca="1" si="65"/>
        <v>0.24735783898989999</v>
      </c>
      <c r="BF66" s="155">
        <f t="shared" ca="1" si="66"/>
        <v>0</v>
      </c>
      <c r="BG66" s="155">
        <f t="shared" ca="1" si="67"/>
        <v>0.22772087954311732</v>
      </c>
      <c r="BH66" s="156">
        <f t="shared" ca="1" si="68"/>
        <v>0.22266325568471282</v>
      </c>
    </row>
    <row r="67" spans="1:60" ht="13.5" thickBot="1" x14ac:dyDescent="0.25">
      <c r="A67" s="174">
        <v>2050</v>
      </c>
      <c r="B67" s="670">
        <f t="shared" si="73"/>
        <v>139788.32999999999</v>
      </c>
      <c r="C67" s="671">
        <f t="shared" si="73"/>
        <v>18929.96</v>
      </c>
      <c r="D67" s="671">
        <f t="shared" si="73"/>
        <v>23054.959999999999</v>
      </c>
      <c r="E67" s="671">
        <f t="shared" si="73"/>
        <v>28829.96</v>
      </c>
      <c r="F67" s="671">
        <f t="shared" si="73"/>
        <v>31556.959999999999</v>
      </c>
      <c r="G67" s="672">
        <f t="shared" si="73"/>
        <v>32715.96</v>
      </c>
      <c r="H67" s="820">
        <f t="shared" si="74"/>
        <v>1</v>
      </c>
      <c r="I67" s="821">
        <f t="shared" si="74"/>
        <v>1</v>
      </c>
      <c r="J67" s="821">
        <f t="shared" si="74"/>
        <v>1</v>
      </c>
      <c r="K67" s="821">
        <f t="shared" si="74"/>
        <v>1</v>
      </c>
      <c r="L67" s="821">
        <f t="shared" si="74"/>
        <v>1</v>
      </c>
      <c r="M67" s="822">
        <f t="shared" si="74"/>
        <v>0.80350552844578305</v>
      </c>
      <c r="N67" s="175">
        <f t="shared" si="28"/>
        <v>9810.6482207280533</v>
      </c>
      <c r="O67" s="176">
        <f t="shared" si="29"/>
        <v>5894.0602428241455</v>
      </c>
      <c r="P67" s="176">
        <f t="shared" si="30"/>
        <v>4954.5688748595712</v>
      </c>
      <c r="Q67" s="176">
        <f t="shared" si="31"/>
        <v>3332.8222123885566</v>
      </c>
      <c r="R67" s="176">
        <f t="shared" si="32"/>
        <v>4406.9151895769028</v>
      </c>
      <c r="S67" s="178">
        <f t="shared" si="33"/>
        <v>4820.0348114465905</v>
      </c>
      <c r="T67" s="175">
        <f t="shared" si="34"/>
        <v>3916.5879779039078</v>
      </c>
      <c r="U67" s="176">
        <f t="shared" si="35"/>
        <v>4856.0793458684821</v>
      </c>
      <c r="V67" s="176">
        <f t="shared" si="36"/>
        <v>6477.8260083394962</v>
      </c>
      <c r="W67" s="176">
        <f t="shared" si="37"/>
        <v>5403.7330311511505</v>
      </c>
      <c r="X67" s="178">
        <f t="shared" si="38"/>
        <v>4990.6134092814627</v>
      </c>
      <c r="Y67" s="179">
        <f ca="1">IF(AND(Y$22=TRUE,INDEX(CDRANGE_CLS2,MATCH($A67,$A$24:$A$67,0),MATCH(Y$20,$B$20:$G$20,0))&lt;$D$6/OPDAYS_Cls2),86,payback(C67,T67,disc_rate/12,85))</f>
        <v>5</v>
      </c>
      <c r="Z67" s="180">
        <f ca="1">IF(AND(Z$22=TRUE,INDEX(CDRANGE_CLS2,MATCH($A67,$A$24:$A$67,0),MATCH(Z$20,$B$20:$G$20,0))&lt;$D$6/OPDAYS_Cls2),86,payback(D67,U67,disc_rate/12,85))</f>
        <v>5</v>
      </c>
      <c r="AA67" s="180">
        <f>IF(AND(AA$22=TRUE,INDEX(CDRANGE_CLS2,MATCH($A67,$A$24:$A$67,0),MATCH(AA$20,$B$20:$G$20,0))&lt;$D$6/OPDAYS_Cls2),86,payback(E67,V67,disc_rate/12,85))</f>
        <v>86</v>
      </c>
      <c r="AB67" s="180">
        <f ca="1">IF(AND(AB$22=TRUE,INDEX(CDRANGE_CLS2,MATCH($A67,$A$24:$A$67,0),MATCH(AB$20,$B$20:$G$20,0))&lt;$D$6/OPDAYS_Cls2),86,payback(F67,W67,disc_rate/12,85))</f>
        <v>6</v>
      </c>
      <c r="AC67" s="181">
        <f ca="1">IF(AND(AC$22=TRUE,INDEX(CDRANGE_CLS2,MATCH($A67,$A$24:$A$67,0),MATCH(AC$20,$B$20:$G$20,0))&lt;$D$6/OPDAYS_Cls2),86,payback(G67,X67,disc_rate/12,85))</f>
        <v>7</v>
      </c>
      <c r="AD67" s="182">
        <f t="shared" si="39"/>
        <v>0</v>
      </c>
      <c r="AE67" s="183">
        <f t="shared" si="40"/>
        <v>0</v>
      </c>
      <c r="AF67" s="183">
        <f t="shared" si="41"/>
        <v>0</v>
      </c>
      <c r="AG67" s="183">
        <f t="shared" si="42"/>
        <v>0</v>
      </c>
      <c r="AH67" s="184">
        <f t="shared" si="43"/>
        <v>0</v>
      </c>
      <c r="AI67" s="185">
        <f t="shared" si="44"/>
        <v>0.49999999962087194</v>
      </c>
      <c r="AJ67" s="186">
        <f t="shared" si="45"/>
        <v>0.49999999962087194</v>
      </c>
      <c r="AK67" s="186">
        <f t="shared" si="46"/>
        <v>0.49999999962087194</v>
      </c>
      <c r="AL67" s="186">
        <f t="shared" si="47"/>
        <v>0.49999999962087194</v>
      </c>
      <c r="AM67" s="187">
        <f t="shared" si="48"/>
        <v>0.49999999962087194</v>
      </c>
      <c r="AN67" s="185">
        <f t="shared" si="60"/>
        <v>0.95033612167679837</v>
      </c>
      <c r="AO67" s="186">
        <f t="shared" si="60"/>
        <v>0.92722531129165975</v>
      </c>
      <c r="AP67" s="186">
        <f t="shared" si="60"/>
        <v>0.88856033605329565</v>
      </c>
      <c r="AQ67" s="186">
        <f t="shared" si="60"/>
        <v>0.86800155728893624</v>
      </c>
      <c r="AR67" s="446">
        <f t="shared" si="60"/>
        <v>0.85885852549882669</v>
      </c>
      <c r="AS67" s="191">
        <f t="shared" ca="1" si="50"/>
        <v>0.99999999924174388</v>
      </c>
      <c r="AT67" s="192">
        <f t="shared" ca="1" si="51"/>
        <v>0.99999999924174388</v>
      </c>
      <c r="AU67" s="192">
        <f t="shared" si="52"/>
        <v>0</v>
      </c>
      <c r="AV67" s="192">
        <f t="shared" ca="1" si="53"/>
        <v>0.99999999924174388</v>
      </c>
      <c r="AW67" s="193">
        <f t="shared" ca="1" si="54"/>
        <v>0.99672728465125515</v>
      </c>
      <c r="AX67" s="182">
        <f t="shared" ca="1" si="55"/>
        <v>0.95033612095620024</v>
      </c>
      <c r="AY67" s="183">
        <f t="shared" ca="1" si="56"/>
        <v>0.92722531058858548</v>
      </c>
      <c r="AZ67" s="183">
        <f t="shared" si="57"/>
        <v>0</v>
      </c>
      <c r="BA67" s="192">
        <f t="shared" ca="1" si="61"/>
        <v>0.86800155663076872</v>
      </c>
      <c r="BB67" s="193">
        <f t="shared" ca="1" si="62"/>
        <v>0.85604772602002632</v>
      </c>
      <c r="BC67" s="191">
        <f t="shared" ca="1" si="63"/>
        <v>4.9663879043799652E-2</v>
      </c>
      <c r="BD67" s="192">
        <f t="shared" ca="1" si="64"/>
        <v>0.25075967795031218</v>
      </c>
      <c r="BE67" s="192">
        <f t="shared" ca="1" si="65"/>
        <v>0.24466156251813984</v>
      </c>
      <c r="BF67" s="192">
        <f t="shared" ca="1" si="66"/>
        <v>0</v>
      </c>
      <c r="BG67" s="192">
        <f t="shared" ca="1" si="67"/>
        <v>0.22903453420469627</v>
      </c>
      <c r="BH67" s="193">
        <f t="shared" ca="1" si="68"/>
        <v>0.22588034628305195</v>
      </c>
    </row>
    <row r="68" spans="1:60" x14ac:dyDescent="0.2">
      <c r="A68" s="99" t="str">
        <f>"Output generated: "&amp; TEXT(MAX($L$4,$L$5),"m/dd/yyyy hh:mm")</f>
        <v>Output generated: 11/04/2020 14:47</v>
      </c>
      <c r="E68" s="106"/>
      <c r="F68" s="106"/>
      <c r="G68" s="106"/>
      <c r="H68" s="194"/>
      <c r="I68" s="106"/>
      <c r="J68" s="106"/>
      <c r="K68" s="195"/>
      <c r="L68" s="195"/>
      <c r="M68" s="195"/>
      <c r="W68" s="99"/>
      <c r="X68" s="99"/>
      <c r="Y68" s="99"/>
    </row>
    <row r="69" spans="1:60" ht="13.5" thickBot="1" x14ac:dyDescent="0.25"/>
    <row r="70" spans="1:60" s="29" customFormat="1" ht="15" x14ac:dyDescent="0.25">
      <c r="A70" s="205"/>
      <c r="B70" s="1539" t="s">
        <v>251</v>
      </c>
      <c r="C70" s="1540"/>
      <c r="D70" s="1540"/>
      <c r="E70" s="1540"/>
      <c r="F70" s="1540"/>
      <c r="G70" s="1540"/>
      <c r="H70" s="1540"/>
      <c r="I70" s="1540"/>
      <c r="J70" s="1540"/>
      <c r="K70" s="1540"/>
      <c r="L70" s="1540"/>
      <c r="M70" s="1540"/>
      <c r="N70" s="1541"/>
      <c r="O70" s="1539" t="s">
        <v>252</v>
      </c>
      <c r="P70" s="1540"/>
      <c r="Q70" s="1540"/>
      <c r="R70" s="1540"/>
      <c r="S70" s="1540"/>
      <c r="T70" s="1540"/>
      <c r="U70" s="1540"/>
      <c r="V70" s="1540"/>
      <c r="W70" s="1540"/>
      <c r="X70" s="1540"/>
      <c r="Y70" s="1540"/>
      <c r="Z70" s="1540"/>
      <c r="AA70" s="1541"/>
    </row>
    <row r="71" spans="1:60" x14ac:dyDescent="0.2">
      <c r="A71" s="196"/>
      <c r="B71" s="1536" t="s">
        <v>121</v>
      </c>
      <c r="C71" s="1537"/>
      <c r="D71" s="1537"/>
      <c r="E71" s="1537"/>
      <c r="F71" s="1537"/>
      <c r="G71" s="1537"/>
      <c r="H71" s="1537"/>
      <c r="I71" s="1537"/>
      <c r="J71" s="1537"/>
      <c r="K71" s="1537"/>
      <c r="L71" s="1537"/>
      <c r="M71" s="254"/>
      <c r="N71" s="197"/>
      <c r="O71" s="1536" t="s">
        <v>121</v>
      </c>
      <c r="P71" s="1537"/>
      <c r="Q71" s="1537"/>
      <c r="R71" s="1537"/>
      <c r="S71" s="1537"/>
      <c r="T71" s="1537"/>
      <c r="U71" s="1537"/>
      <c r="V71" s="1537"/>
      <c r="W71" s="1537"/>
      <c r="X71" s="1537"/>
      <c r="Y71" s="1537"/>
      <c r="Z71" s="254"/>
      <c r="AA71" s="197"/>
      <c r="AC71" s="801" t="s">
        <v>267</v>
      </c>
      <c r="AD71" s="106" t="b">
        <f>INDEX(TECH_OPT_FUEL2_Cls1,MATCH(RIGHT(O70),TECH_OPT_ROWS_Cls1,0))&lt;&gt;"N/A"</f>
        <v>0</v>
      </c>
    </row>
    <row r="72" spans="1:60" s="100" customFormat="1" ht="13.5" thickBot="1" x14ac:dyDescent="0.25">
      <c r="A72" s="203"/>
      <c r="B72" s="210" t="s">
        <v>28</v>
      </c>
      <c r="C72" s="211" t="s">
        <v>29</v>
      </c>
      <c r="D72" s="211" t="s">
        <v>30</v>
      </c>
      <c r="E72" s="211" t="s">
        <v>31</v>
      </c>
      <c r="F72" s="211" t="s">
        <v>32</v>
      </c>
      <c r="G72" s="211" t="s">
        <v>33</v>
      </c>
      <c r="H72" s="211" t="s">
        <v>34</v>
      </c>
      <c r="I72" s="211" t="s">
        <v>35</v>
      </c>
      <c r="J72" s="211" t="s">
        <v>36</v>
      </c>
      <c r="K72" s="211" t="s">
        <v>37</v>
      </c>
      <c r="L72" s="249" t="s">
        <v>38</v>
      </c>
      <c r="M72" s="255" t="s">
        <v>122</v>
      </c>
      <c r="N72" s="204" t="s">
        <v>123</v>
      </c>
      <c r="O72" s="210" t="s">
        <v>28</v>
      </c>
      <c r="P72" s="211" t="s">
        <v>29</v>
      </c>
      <c r="Q72" s="211" t="s">
        <v>30</v>
      </c>
      <c r="R72" s="211" t="s">
        <v>31</v>
      </c>
      <c r="S72" s="211" t="s">
        <v>32</v>
      </c>
      <c r="T72" s="211" t="s">
        <v>33</v>
      </c>
      <c r="U72" s="211" t="s">
        <v>34</v>
      </c>
      <c r="V72" s="211" t="s">
        <v>35</v>
      </c>
      <c r="W72" s="211" t="s">
        <v>36</v>
      </c>
      <c r="X72" s="211" t="s">
        <v>37</v>
      </c>
      <c r="Y72" s="249" t="s">
        <v>38</v>
      </c>
      <c r="Z72" s="255" t="s">
        <v>122</v>
      </c>
      <c r="AA72" s="204" t="s">
        <v>123</v>
      </c>
      <c r="AB72" s="783"/>
      <c r="AC72" s="801" t="s">
        <v>268</v>
      </c>
      <c r="AD72" s="106">
        <f>MATCH(RIGHT(O70),TECH_OPT_ROWS_Cls1,0)</f>
        <v>2</v>
      </c>
    </row>
    <row r="73" spans="1:60" s="100" customFormat="1" ht="13.5" thickTop="1" thickBot="1" x14ac:dyDescent="0.25">
      <c r="A73" s="207" t="s">
        <v>124</v>
      </c>
      <c r="B73" s="212">
        <f t="array" ref="B73:L73">TRANSPOSE(Cls2CentTruckShr)</f>
        <v>3.9559734044076443E-2</v>
      </c>
      <c r="C73" s="213">
        <v>8.9650908809480775E-2</v>
      </c>
      <c r="D73" s="213">
        <v>9.1857251580802685E-2</v>
      </c>
      <c r="E73" s="213">
        <v>9.271536797287637E-2</v>
      </c>
      <c r="F73" s="213">
        <v>0.10920126324528824</v>
      </c>
      <c r="G73" s="213">
        <v>4.7813378096654632E-2</v>
      </c>
      <c r="H73" s="213">
        <v>5.2826626309680449E-2</v>
      </c>
      <c r="I73" s="213">
        <v>3.3324854637922362E-2</v>
      </c>
      <c r="J73" s="213">
        <v>1.4796369103015083E-2</v>
      </c>
      <c r="K73" s="213">
        <v>6.5522293759777608E-3</v>
      </c>
      <c r="L73" s="250">
        <v>1.1207747736094297E-2</v>
      </c>
      <c r="M73" s="256"/>
      <c r="N73" s="208"/>
      <c r="O73" s="212">
        <f t="array" ref="O73:Y73">TRANSPOSE(Cls2NCentTruckShr)</f>
        <v>4.6052840844996765E-2</v>
      </c>
      <c r="P73" s="213">
        <v>6.7033462620106746E-2</v>
      </c>
      <c r="Q73" s="213">
        <v>6.2316087841293416E-2</v>
      </c>
      <c r="R73" s="213">
        <v>6.9108422941336428E-2</v>
      </c>
      <c r="S73" s="213">
        <v>7.8222088301235171E-2</v>
      </c>
      <c r="T73" s="213">
        <v>3.5529474750239771E-2</v>
      </c>
      <c r="U73" s="213">
        <v>3.0248313910710867E-2</v>
      </c>
      <c r="V73" s="213">
        <v>8.2628405675757074E-3</v>
      </c>
      <c r="W73" s="213">
        <v>6.4250307191884484E-3</v>
      </c>
      <c r="X73" s="213">
        <v>1.9993158802676368E-3</v>
      </c>
      <c r="Y73" s="1052">
        <v>5.2963907111801883E-3</v>
      </c>
      <c r="Z73" s="256"/>
      <c r="AA73" s="208"/>
    </row>
    <row r="74" spans="1:60" s="100" customFormat="1" x14ac:dyDescent="0.2">
      <c r="A74" s="203" t="s">
        <v>125</v>
      </c>
      <c r="B74" s="770">
        <f t="array" ref="B74:L74">TRANSPOSE(Cls2CentVMTShr)</f>
        <v>6.3375455551975849E-3</v>
      </c>
      <c r="C74" s="771">
        <v>3.496913005496359E-2</v>
      </c>
      <c r="D74" s="771">
        <v>5.9955127131675522E-2</v>
      </c>
      <c r="E74" s="771">
        <v>8.4599669387910512E-2</v>
      </c>
      <c r="F74" s="771">
        <v>0.12702701008436962</v>
      </c>
      <c r="G74" s="771">
        <v>6.7204731283582092E-2</v>
      </c>
      <c r="H74" s="771">
        <v>8.8708982453757024E-2</v>
      </c>
      <c r="I74" s="771">
        <v>6.4694225377098208E-2</v>
      </c>
      <c r="J74" s="771">
        <v>3.2526447027526634E-2</v>
      </c>
      <c r="K74" s="771">
        <v>1.589064319454132E-2</v>
      </c>
      <c r="L74" s="1053">
        <v>3.2608183213810787E-2</v>
      </c>
      <c r="M74" s="1054"/>
      <c r="N74" s="1055"/>
      <c r="O74" s="770">
        <f t="array" ref="O74:Y74">TRANSPOSE(Cls2NCentVMTShr)</f>
        <v>8.1228463417563086E-3</v>
      </c>
      <c r="P74" s="771">
        <v>2.7563836768431361E-2</v>
      </c>
      <c r="Q74" s="771">
        <v>4.1883113088337191E-2</v>
      </c>
      <c r="R74" s="771">
        <v>6.4289357588678764E-2</v>
      </c>
      <c r="S74" s="771">
        <v>9.1183275251204537E-2</v>
      </c>
      <c r="T74" s="771">
        <v>5.1984283219922628E-2</v>
      </c>
      <c r="U74" s="771">
        <v>5.0286059545109812E-2</v>
      </c>
      <c r="V74" s="771">
        <v>1.5542287574292338E-2</v>
      </c>
      <c r="W74" s="771">
        <v>1.4506257462625264E-2</v>
      </c>
      <c r="X74" s="771">
        <v>4.9330966304706684E-3</v>
      </c>
      <c r="Y74" s="772">
        <v>1.5183891764738403E-2</v>
      </c>
      <c r="Z74" s="1054"/>
      <c r="AA74" s="1055"/>
      <c r="AB74" s="1552" t="str">
        <f>"% of miles on f2 for Tech "&amp; RIGHT(O69)&amp;" adopters"</f>
        <v>% of miles on f2 for Tech  adopters</v>
      </c>
      <c r="AC74" s="1553"/>
      <c r="AD74" s="1554"/>
      <c r="AE74" s="1016" t="s">
        <v>295</v>
      </c>
      <c r="AF74" s="1016"/>
      <c r="AG74" s="1016"/>
      <c r="AH74" s="1017" t="s">
        <v>294</v>
      </c>
      <c r="AI74" s="1018"/>
    </row>
    <row r="75" spans="1:60" ht="13.5" thickBot="1" x14ac:dyDescent="0.25">
      <c r="A75" s="789" t="s">
        <v>266</v>
      </c>
      <c r="B75" s="780">
        <f t="array" ref="B75:L75">TRANSPOSE(Cls2CentVMT/OPDAYS_Cls2)</f>
        <v>49.332453271995263</v>
      </c>
      <c r="C75" s="781">
        <v>120.11441047790339</v>
      </c>
      <c r="D75" s="781">
        <v>200.99157969807086</v>
      </c>
      <c r="E75" s="781">
        <v>280.98421424125928</v>
      </c>
      <c r="F75" s="781">
        <v>358.20644524895255</v>
      </c>
      <c r="G75" s="781">
        <v>432.82805471770689</v>
      </c>
      <c r="H75" s="781">
        <v>517.10615118099815</v>
      </c>
      <c r="I75" s="781">
        <v>597.8087063838957</v>
      </c>
      <c r="J75" s="781">
        <v>676.93419409560215</v>
      </c>
      <c r="K75" s="781">
        <v>746.82245226325631</v>
      </c>
      <c r="L75" s="782">
        <v>895.92826380844349</v>
      </c>
      <c r="M75" s="778"/>
      <c r="N75" s="779"/>
      <c r="O75" s="780">
        <f t="array" ref="O75:Y75">TRANSPOSE(Cls2NCentVMT/OPDAYS_Cls2)</f>
        <v>54.31462614952413</v>
      </c>
      <c r="P75" s="781">
        <v>126.62311644744663</v>
      </c>
      <c r="Q75" s="781">
        <v>206.96826351576016</v>
      </c>
      <c r="R75" s="781">
        <v>286.46600131499179</v>
      </c>
      <c r="S75" s="781">
        <v>358.9638908170715</v>
      </c>
      <c r="T75" s="781">
        <v>450.55545819643328</v>
      </c>
      <c r="U75" s="781">
        <v>511.93098482414172</v>
      </c>
      <c r="V75" s="781">
        <v>579.22933632093111</v>
      </c>
      <c r="W75" s="781">
        <v>695.25665569614875</v>
      </c>
      <c r="X75" s="781">
        <v>759.80682330760794</v>
      </c>
      <c r="Y75" s="1056">
        <v>882.81167173661356</v>
      </c>
      <c r="Z75" s="790"/>
      <c r="AA75" s="779"/>
      <c r="AB75" s="792" t="s">
        <v>186</v>
      </c>
      <c r="AC75" s="793" t="s">
        <v>15</v>
      </c>
      <c r="AD75" s="794" t="s">
        <v>18</v>
      </c>
      <c r="AE75" s="784" t="s">
        <v>186</v>
      </c>
      <c r="AF75" s="784" t="s">
        <v>15</v>
      </c>
      <c r="AG75" s="784" t="s">
        <v>18</v>
      </c>
      <c r="AH75" s="1015" t="s">
        <v>186</v>
      </c>
      <c r="AI75" s="784" t="s">
        <v>15</v>
      </c>
      <c r="AJ75" s="195"/>
      <c r="AK75" s="195"/>
      <c r="AL75" s="195"/>
      <c r="AM75" s="195"/>
    </row>
    <row r="76" spans="1:60" ht="13.5" thickTop="1" x14ac:dyDescent="0.2">
      <c r="A76" s="198">
        <v>2007</v>
      </c>
      <c r="B76" s="214">
        <v>0</v>
      </c>
      <c r="C76" s="215">
        <v>0</v>
      </c>
      <c r="D76" s="215">
        <v>0</v>
      </c>
      <c r="E76" s="215">
        <v>0</v>
      </c>
      <c r="F76" s="215">
        <v>0</v>
      </c>
      <c r="G76" s="215">
        <v>0</v>
      </c>
      <c r="H76" s="215">
        <v>0</v>
      </c>
      <c r="I76" s="215">
        <v>0</v>
      </c>
      <c r="J76" s="215">
        <v>0</v>
      </c>
      <c r="K76" s="215">
        <v>0</v>
      </c>
      <c r="L76" s="251">
        <v>0</v>
      </c>
      <c r="M76" s="154">
        <f>SUMPRODUCT($B$74:$L$74,$B76:$L76)</f>
        <v>0</v>
      </c>
      <c r="N76" s="156">
        <f>SUMPRODUCT($B$73:$L$73,$B76:$L76)</f>
        <v>0</v>
      </c>
      <c r="O76" s="214">
        <v>0</v>
      </c>
      <c r="P76" s="215">
        <v>0</v>
      </c>
      <c r="Q76" s="215">
        <v>0</v>
      </c>
      <c r="R76" s="215">
        <v>0</v>
      </c>
      <c r="S76" s="215">
        <v>0</v>
      </c>
      <c r="T76" s="215">
        <v>0</v>
      </c>
      <c r="U76" s="215">
        <v>0</v>
      </c>
      <c r="V76" s="215">
        <v>0</v>
      </c>
      <c r="W76" s="215">
        <v>0</v>
      </c>
      <c r="X76" s="215">
        <v>0</v>
      </c>
      <c r="Y76" s="251">
        <v>0</v>
      </c>
      <c r="Z76" s="154">
        <f>SUMPRODUCT($O$74:$Y$74,$O76:$Y76)</f>
        <v>0</v>
      </c>
      <c r="AA76" s="156">
        <f>SUMPRODUCT($O$73:$Y$73,$O76:$Y76)</f>
        <v>0</v>
      </c>
      <c r="AB76" s="795">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796">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069">
        <f t="shared" ref="AD76:AD101" si="75">AB76*AH76+AC76*AI76</f>
        <v>0</v>
      </c>
      <c r="AE76" s="784">
        <f t="shared" ref="AE76:AE90" si="76">SUMPRODUCT($B$74:$L$74,B76:L76)</f>
        <v>0</v>
      </c>
      <c r="AF76" s="784">
        <f t="shared" ref="AF76:AF90" si="77">SUMPRODUCT($O$74:$Y$74,O76:Y76)</f>
        <v>0</v>
      </c>
      <c r="AG76" s="784">
        <f t="shared" ref="AG76:AG90" si="78">SUM(AE76:AF76)</f>
        <v>0</v>
      </c>
      <c r="AH76" s="1015">
        <f>IF(AG76&gt;0,AE76/AG76,0)</f>
        <v>0</v>
      </c>
      <c r="AI76" s="784">
        <f>IF(AG76&gt;0,AF76/AG76,0)</f>
        <v>0</v>
      </c>
    </row>
    <row r="77" spans="1:60" x14ac:dyDescent="0.2">
      <c r="A77" s="199">
        <v>2008</v>
      </c>
      <c r="B77" s="216">
        <v>0</v>
      </c>
      <c r="C77" s="217">
        <v>0</v>
      </c>
      <c r="D77" s="217">
        <v>0</v>
      </c>
      <c r="E77" s="217">
        <v>0</v>
      </c>
      <c r="F77" s="217">
        <v>0</v>
      </c>
      <c r="G77" s="217">
        <v>0</v>
      </c>
      <c r="H77" s="217">
        <v>0</v>
      </c>
      <c r="I77" s="217">
        <v>0</v>
      </c>
      <c r="J77" s="217">
        <v>0</v>
      </c>
      <c r="K77" s="217">
        <v>0</v>
      </c>
      <c r="L77" s="252">
        <v>0</v>
      </c>
      <c r="M77" s="168">
        <f t="shared" ref="M77:M119" si="79">SUMPRODUCT($B$74:$L$74,$B77:$L77)</f>
        <v>0</v>
      </c>
      <c r="N77" s="170">
        <f t="shared" ref="N77:N118" si="80">SUMPRODUCT($B$73:$L$73,$B77:$L77)</f>
        <v>0</v>
      </c>
      <c r="O77" s="216">
        <v>0</v>
      </c>
      <c r="P77" s="217">
        <v>0</v>
      </c>
      <c r="Q77" s="217">
        <v>0</v>
      </c>
      <c r="R77" s="217">
        <v>0</v>
      </c>
      <c r="S77" s="217">
        <v>0</v>
      </c>
      <c r="T77" s="217">
        <v>0</v>
      </c>
      <c r="U77" s="217">
        <v>0</v>
      </c>
      <c r="V77" s="217">
        <v>0</v>
      </c>
      <c r="W77" s="217">
        <v>0</v>
      </c>
      <c r="X77" s="217">
        <v>0</v>
      </c>
      <c r="Y77" s="252">
        <v>0</v>
      </c>
      <c r="Z77" s="168">
        <f t="shared" ref="Z77:Z118" si="81">SUMPRODUCT($O$74:$Y$74,$O77:$Y77)</f>
        <v>0</v>
      </c>
      <c r="AA77" s="170">
        <f t="shared" ref="AA77:AA119" si="82">SUMPRODUCT($O$73:$Y$73,$O77:$Y77)</f>
        <v>0</v>
      </c>
      <c r="AB77" s="795">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796">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069">
        <f t="shared" si="75"/>
        <v>0</v>
      </c>
      <c r="AE77" s="784">
        <f t="shared" si="76"/>
        <v>0</v>
      </c>
      <c r="AF77" s="784">
        <f t="shared" si="77"/>
        <v>0</v>
      </c>
      <c r="AG77" s="784">
        <f t="shared" si="78"/>
        <v>0</v>
      </c>
      <c r="AH77" s="1015">
        <f t="shared" ref="AH77:AH119" si="83">IF(AG77&gt;0,AE77/AG77,0)</f>
        <v>0</v>
      </c>
      <c r="AI77" s="784">
        <f t="shared" ref="AI77:AI119" si="84">IF(AG77&gt;0,AF77/AG77,0)</f>
        <v>0</v>
      </c>
    </row>
    <row r="78" spans="1:60" x14ac:dyDescent="0.2">
      <c r="A78" s="199">
        <v>2009</v>
      </c>
      <c r="B78" s="216">
        <v>0</v>
      </c>
      <c r="C78" s="217">
        <v>0</v>
      </c>
      <c r="D78" s="217">
        <v>0</v>
      </c>
      <c r="E78" s="217">
        <v>0</v>
      </c>
      <c r="F78" s="217">
        <v>0</v>
      </c>
      <c r="G78" s="217">
        <v>0</v>
      </c>
      <c r="H78" s="217">
        <v>0</v>
      </c>
      <c r="I78" s="217">
        <v>0</v>
      </c>
      <c r="J78" s="217">
        <v>0</v>
      </c>
      <c r="K78" s="217">
        <v>0</v>
      </c>
      <c r="L78" s="252">
        <v>0</v>
      </c>
      <c r="M78" s="168">
        <f t="shared" si="79"/>
        <v>0</v>
      </c>
      <c r="N78" s="170">
        <f t="shared" si="80"/>
        <v>0</v>
      </c>
      <c r="O78" s="216">
        <v>0</v>
      </c>
      <c r="P78" s="217">
        <v>0</v>
      </c>
      <c r="Q78" s="217">
        <v>0</v>
      </c>
      <c r="R78" s="217">
        <v>0</v>
      </c>
      <c r="S78" s="217">
        <v>0</v>
      </c>
      <c r="T78" s="217">
        <v>0</v>
      </c>
      <c r="U78" s="217">
        <v>0</v>
      </c>
      <c r="V78" s="217">
        <v>0</v>
      </c>
      <c r="W78" s="217">
        <v>0</v>
      </c>
      <c r="X78" s="217">
        <v>0</v>
      </c>
      <c r="Y78" s="252">
        <v>0</v>
      </c>
      <c r="Z78" s="168">
        <f t="shared" si="81"/>
        <v>0</v>
      </c>
      <c r="AA78" s="170">
        <f t="shared" si="82"/>
        <v>0</v>
      </c>
      <c r="AB78" s="795">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796">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069">
        <f t="shared" si="75"/>
        <v>0</v>
      </c>
      <c r="AE78" s="784">
        <f t="shared" si="76"/>
        <v>0</v>
      </c>
      <c r="AF78" s="784">
        <f t="shared" si="77"/>
        <v>0</v>
      </c>
      <c r="AG78" s="784">
        <f t="shared" si="78"/>
        <v>0</v>
      </c>
      <c r="AH78" s="1015">
        <f t="shared" si="83"/>
        <v>0</v>
      </c>
      <c r="AI78" s="784">
        <f t="shared" si="84"/>
        <v>0</v>
      </c>
    </row>
    <row r="79" spans="1:60" ht="13.5" thickBot="1" x14ac:dyDescent="0.25">
      <c r="A79" s="200">
        <v>2010</v>
      </c>
      <c r="B79" s="218">
        <v>0</v>
      </c>
      <c r="C79" s="219">
        <v>0</v>
      </c>
      <c r="D79" s="219">
        <v>0</v>
      </c>
      <c r="E79" s="219">
        <v>0</v>
      </c>
      <c r="F79" s="219">
        <v>0</v>
      </c>
      <c r="G79" s="219">
        <v>0</v>
      </c>
      <c r="H79" s="219">
        <v>0</v>
      </c>
      <c r="I79" s="219">
        <v>0</v>
      </c>
      <c r="J79" s="219">
        <v>0</v>
      </c>
      <c r="K79" s="219">
        <v>0</v>
      </c>
      <c r="L79" s="253">
        <v>0</v>
      </c>
      <c r="M79" s="182">
        <f t="shared" si="79"/>
        <v>0</v>
      </c>
      <c r="N79" s="184">
        <f t="shared" si="80"/>
        <v>0</v>
      </c>
      <c r="O79" s="218">
        <v>0</v>
      </c>
      <c r="P79" s="219">
        <v>0</v>
      </c>
      <c r="Q79" s="219">
        <v>0</v>
      </c>
      <c r="R79" s="219">
        <v>0</v>
      </c>
      <c r="S79" s="219">
        <v>0</v>
      </c>
      <c r="T79" s="219">
        <v>0</v>
      </c>
      <c r="U79" s="219">
        <v>0</v>
      </c>
      <c r="V79" s="219">
        <v>0</v>
      </c>
      <c r="W79" s="219">
        <v>0</v>
      </c>
      <c r="X79" s="219">
        <v>0</v>
      </c>
      <c r="Y79" s="253">
        <v>0</v>
      </c>
      <c r="Z79" s="182">
        <f t="shared" si="81"/>
        <v>0</v>
      </c>
      <c r="AA79" s="184">
        <f t="shared" si="82"/>
        <v>0</v>
      </c>
      <c r="AB79" s="795">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796">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069">
        <f t="shared" si="75"/>
        <v>0</v>
      </c>
      <c r="AE79" s="784">
        <f t="shared" si="76"/>
        <v>0</v>
      </c>
      <c r="AF79" s="784">
        <f t="shared" si="77"/>
        <v>0</v>
      </c>
      <c r="AG79" s="784">
        <f t="shared" si="78"/>
        <v>0</v>
      </c>
      <c r="AH79" s="1015">
        <f t="shared" si="83"/>
        <v>0</v>
      </c>
      <c r="AI79" s="784">
        <f t="shared" si="84"/>
        <v>0</v>
      </c>
    </row>
    <row r="80" spans="1:60" x14ac:dyDescent="0.2">
      <c r="A80" s="201">
        <v>2011</v>
      </c>
      <c r="B80" s="214">
        <v>0</v>
      </c>
      <c r="C80" s="215">
        <v>0</v>
      </c>
      <c r="D80" s="215">
        <v>0</v>
      </c>
      <c r="E80" s="215">
        <v>0</v>
      </c>
      <c r="F80" s="215">
        <v>0</v>
      </c>
      <c r="G80" s="215">
        <v>0</v>
      </c>
      <c r="H80" s="215">
        <v>0</v>
      </c>
      <c r="I80" s="215">
        <v>0</v>
      </c>
      <c r="J80" s="215">
        <v>0</v>
      </c>
      <c r="K80" s="215">
        <v>0</v>
      </c>
      <c r="L80" s="251">
        <v>0</v>
      </c>
      <c r="M80" s="154">
        <f t="shared" si="79"/>
        <v>0</v>
      </c>
      <c r="N80" s="156">
        <f t="shared" si="80"/>
        <v>0</v>
      </c>
      <c r="O80" s="214">
        <v>0</v>
      </c>
      <c r="P80" s="215">
        <v>0</v>
      </c>
      <c r="Q80" s="215">
        <v>0</v>
      </c>
      <c r="R80" s="215">
        <v>0</v>
      </c>
      <c r="S80" s="215">
        <v>0</v>
      </c>
      <c r="T80" s="215">
        <v>0</v>
      </c>
      <c r="U80" s="215">
        <v>0</v>
      </c>
      <c r="V80" s="215">
        <v>0</v>
      </c>
      <c r="W80" s="215">
        <v>0</v>
      </c>
      <c r="X80" s="215">
        <v>0</v>
      </c>
      <c r="Y80" s="251">
        <v>0</v>
      </c>
      <c r="Z80" s="154">
        <f t="shared" si="81"/>
        <v>0</v>
      </c>
      <c r="AA80" s="156">
        <f t="shared" si="82"/>
        <v>0</v>
      </c>
      <c r="AB80" s="795">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796">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069">
        <f t="shared" si="75"/>
        <v>0</v>
      </c>
      <c r="AE80" s="784">
        <f t="shared" si="76"/>
        <v>0</v>
      </c>
      <c r="AF80" s="784">
        <f t="shared" si="77"/>
        <v>0</v>
      </c>
      <c r="AG80" s="784">
        <f t="shared" si="78"/>
        <v>0</v>
      </c>
      <c r="AH80" s="1015">
        <f t="shared" si="83"/>
        <v>0</v>
      </c>
      <c r="AI80" s="784">
        <f t="shared" si="84"/>
        <v>0</v>
      </c>
    </row>
    <row r="81" spans="1:38" x14ac:dyDescent="0.2">
      <c r="A81" s="202">
        <v>2012</v>
      </c>
      <c r="B81" s="216">
        <v>0</v>
      </c>
      <c r="C81" s="217">
        <v>0</v>
      </c>
      <c r="D81" s="217">
        <v>0</v>
      </c>
      <c r="E81" s="217">
        <v>0</v>
      </c>
      <c r="F81" s="217">
        <v>0</v>
      </c>
      <c r="G81" s="217">
        <v>0</v>
      </c>
      <c r="H81" s="217">
        <v>0</v>
      </c>
      <c r="I81" s="217">
        <v>0</v>
      </c>
      <c r="J81" s="217">
        <v>0</v>
      </c>
      <c r="K81" s="217">
        <v>0</v>
      </c>
      <c r="L81" s="252">
        <v>0</v>
      </c>
      <c r="M81" s="168">
        <f t="shared" si="79"/>
        <v>0</v>
      </c>
      <c r="N81" s="170">
        <f t="shared" si="80"/>
        <v>0</v>
      </c>
      <c r="O81" s="216">
        <v>0</v>
      </c>
      <c r="P81" s="217">
        <v>0</v>
      </c>
      <c r="Q81" s="217">
        <v>0</v>
      </c>
      <c r="R81" s="217">
        <v>0</v>
      </c>
      <c r="S81" s="217">
        <v>0</v>
      </c>
      <c r="T81" s="217">
        <v>0</v>
      </c>
      <c r="U81" s="217">
        <v>0</v>
      </c>
      <c r="V81" s="217">
        <v>0</v>
      </c>
      <c r="W81" s="217">
        <v>0</v>
      </c>
      <c r="X81" s="217">
        <v>0</v>
      </c>
      <c r="Y81" s="252">
        <v>0</v>
      </c>
      <c r="Z81" s="168">
        <f t="shared" si="81"/>
        <v>0</v>
      </c>
      <c r="AA81" s="170">
        <f t="shared" si="82"/>
        <v>0</v>
      </c>
      <c r="AB81" s="795">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796">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069">
        <f t="shared" si="75"/>
        <v>0</v>
      </c>
      <c r="AE81" s="784">
        <f t="shared" si="76"/>
        <v>0</v>
      </c>
      <c r="AF81" s="784">
        <f t="shared" si="77"/>
        <v>0</v>
      </c>
      <c r="AG81" s="784">
        <f t="shared" si="78"/>
        <v>0</v>
      </c>
      <c r="AH81" s="1015">
        <f t="shared" si="83"/>
        <v>0</v>
      </c>
      <c r="AI81" s="784">
        <f t="shared" si="84"/>
        <v>0</v>
      </c>
    </row>
    <row r="82" spans="1:38" x14ac:dyDescent="0.2">
      <c r="A82" s="202">
        <v>2013</v>
      </c>
      <c r="B82" s="216">
        <v>0</v>
      </c>
      <c r="C82" s="217">
        <v>0</v>
      </c>
      <c r="D82" s="217">
        <v>0</v>
      </c>
      <c r="E82" s="217">
        <v>0</v>
      </c>
      <c r="F82" s="217">
        <v>0</v>
      </c>
      <c r="G82" s="217">
        <v>0</v>
      </c>
      <c r="H82" s="217">
        <v>0</v>
      </c>
      <c r="I82" s="217">
        <v>0</v>
      </c>
      <c r="J82" s="217">
        <v>0</v>
      </c>
      <c r="K82" s="217">
        <v>0</v>
      </c>
      <c r="L82" s="252">
        <v>0</v>
      </c>
      <c r="M82" s="168">
        <f t="shared" si="79"/>
        <v>0</v>
      </c>
      <c r="N82" s="170">
        <f t="shared" si="80"/>
        <v>0</v>
      </c>
      <c r="O82" s="216">
        <v>0</v>
      </c>
      <c r="P82" s="217">
        <v>0</v>
      </c>
      <c r="Q82" s="217">
        <v>0</v>
      </c>
      <c r="R82" s="217">
        <v>0</v>
      </c>
      <c r="S82" s="217">
        <v>0</v>
      </c>
      <c r="T82" s="217">
        <v>0</v>
      </c>
      <c r="U82" s="217">
        <v>0</v>
      </c>
      <c r="V82" s="217">
        <v>0</v>
      </c>
      <c r="W82" s="217">
        <v>0</v>
      </c>
      <c r="X82" s="217">
        <v>0</v>
      </c>
      <c r="Y82" s="252">
        <v>0</v>
      </c>
      <c r="Z82" s="168">
        <f t="shared" si="81"/>
        <v>0</v>
      </c>
      <c r="AA82" s="170">
        <f t="shared" si="82"/>
        <v>0</v>
      </c>
      <c r="AB82" s="795">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796">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069">
        <f t="shared" si="75"/>
        <v>0</v>
      </c>
      <c r="AE82" s="784">
        <f t="shared" si="76"/>
        <v>0</v>
      </c>
      <c r="AF82" s="784">
        <f t="shared" si="77"/>
        <v>0</v>
      </c>
      <c r="AG82" s="784">
        <f t="shared" si="78"/>
        <v>0</v>
      </c>
      <c r="AH82" s="1015">
        <f t="shared" si="83"/>
        <v>0</v>
      </c>
      <c r="AI82" s="784">
        <f t="shared" si="84"/>
        <v>0</v>
      </c>
    </row>
    <row r="83" spans="1:38" x14ac:dyDescent="0.2">
      <c r="A83" s="202">
        <v>2014</v>
      </c>
      <c r="B83" s="216">
        <v>0</v>
      </c>
      <c r="C83" s="217">
        <v>0</v>
      </c>
      <c r="D83" s="217">
        <v>0</v>
      </c>
      <c r="E83" s="217">
        <v>0</v>
      </c>
      <c r="F83" s="217">
        <v>0</v>
      </c>
      <c r="G83" s="217">
        <v>0</v>
      </c>
      <c r="H83" s="217">
        <v>0</v>
      </c>
      <c r="I83" s="217">
        <v>0</v>
      </c>
      <c r="J83" s="217">
        <v>0</v>
      </c>
      <c r="K83" s="217">
        <v>0</v>
      </c>
      <c r="L83" s="252">
        <v>0</v>
      </c>
      <c r="M83" s="168">
        <f t="shared" si="79"/>
        <v>0</v>
      </c>
      <c r="N83" s="170">
        <f t="shared" si="80"/>
        <v>0</v>
      </c>
      <c r="O83" s="216">
        <v>0</v>
      </c>
      <c r="P83" s="217">
        <v>0</v>
      </c>
      <c r="Q83" s="217">
        <v>0</v>
      </c>
      <c r="R83" s="217">
        <v>0</v>
      </c>
      <c r="S83" s="217">
        <v>0</v>
      </c>
      <c r="T83" s="217">
        <v>0</v>
      </c>
      <c r="U83" s="217">
        <v>0</v>
      </c>
      <c r="V83" s="217">
        <v>0</v>
      </c>
      <c r="W83" s="217">
        <v>0</v>
      </c>
      <c r="X83" s="217">
        <v>0</v>
      </c>
      <c r="Y83" s="252">
        <v>0</v>
      </c>
      <c r="Z83" s="168">
        <f t="shared" si="81"/>
        <v>0</v>
      </c>
      <c r="AA83" s="170">
        <f t="shared" si="82"/>
        <v>0</v>
      </c>
      <c r="AB83" s="795">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796">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069">
        <f t="shared" si="75"/>
        <v>0</v>
      </c>
      <c r="AE83" s="784">
        <f t="shared" si="76"/>
        <v>0</v>
      </c>
      <c r="AF83" s="784">
        <f t="shared" si="77"/>
        <v>0</v>
      </c>
      <c r="AG83" s="784">
        <f t="shared" si="78"/>
        <v>0</v>
      </c>
      <c r="AH83" s="1015">
        <f t="shared" si="83"/>
        <v>0</v>
      </c>
      <c r="AI83" s="784">
        <f t="shared" si="84"/>
        <v>0</v>
      </c>
    </row>
    <row r="84" spans="1:38" ht="13.5" thickBot="1" x14ac:dyDescent="0.25">
      <c r="A84" s="200">
        <v>2015</v>
      </c>
      <c r="B84" s="218">
        <v>0</v>
      </c>
      <c r="C84" s="219">
        <v>0</v>
      </c>
      <c r="D84" s="219">
        <v>0</v>
      </c>
      <c r="E84" s="219">
        <v>0</v>
      </c>
      <c r="F84" s="219">
        <v>0</v>
      </c>
      <c r="G84" s="219">
        <v>0</v>
      </c>
      <c r="H84" s="219">
        <v>0</v>
      </c>
      <c r="I84" s="219">
        <v>0</v>
      </c>
      <c r="J84" s="219">
        <v>0</v>
      </c>
      <c r="K84" s="219">
        <v>0</v>
      </c>
      <c r="L84" s="253">
        <v>0</v>
      </c>
      <c r="M84" s="182">
        <f t="shared" si="79"/>
        <v>0</v>
      </c>
      <c r="N84" s="184">
        <f t="shared" si="80"/>
        <v>0</v>
      </c>
      <c r="O84" s="218">
        <v>0</v>
      </c>
      <c r="P84" s="219">
        <v>0</v>
      </c>
      <c r="Q84" s="219">
        <v>0</v>
      </c>
      <c r="R84" s="219">
        <v>0</v>
      </c>
      <c r="S84" s="219">
        <v>0</v>
      </c>
      <c r="T84" s="219">
        <v>0</v>
      </c>
      <c r="U84" s="219">
        <v>0</v>
      </c>
      <c r="V84" s="219">
        <v>0</v>
      </c>
      <c r="W84" s="219">
        <v>0</v>
      </c>
      <c r="X84" s="219">
        <v>0</v>
      </c>
      <c r="Y84" s="253">
        <v>0</v>
      </c>
      <c r="Z84" s="182">
        <f t="shared" si="81"/>
        <v>0</v>
      </c>
      <c r="AA84" s="184">
        <f t="shared" si="82"/>
        <v>0</v>
      </c>
      <c r="AB84" s="795">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796">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069">
        <f t="shared" si="75"/>
        <v>0</v>
      </c>
      <c r="AE84" s="784">
        <f t="shared" si="76"/>
        <v>0</v>
      </c>
      <c r="AF84" s="784">
        <f t="shared" si="77"/>
        <v>0</v>
      </c>
      <c r="AG84" s="784">
        <f t="shared" si="78"/>
        <v>0</v>
      </c>
      <c r="AH84" s="1015">
        <f t="shared" si="83"/>
        <v>0</v>
      </c>
      <c r="AI84" s="784">
        <f t="shared" si="84"/>
        <v>0</v>
      </c>
    </row>
    <row r="85" spans="1:38" x14ac:dyDescent="0.2">
      <c r="A85" s="201">
        <v>2016</v>
      </c>
      <c r="B85" s="214">
        <v>0</v>
      </c>
      <c r="C85" s="215">
        <v>0</v>
      </c>
      <c r="D85" s="215">
        <v>0</v>
      </c>
      <c r="E85" s="215">
        <v>0</v>
      </c>
      <c r="F85" s="215">
        <v>0</v>
      </c>
      <c r="G85" s="215">
        <v>0</v>
      </c>
      <c r="H85" s="215">
        <v>0</v>
      </c>
      <c r="I85" s="215">
        <v>0</v>
      </c>
      <c r="J85" s="215">
        <v>0</v>
      </c>
      <c r="K85" s="215">
        <v>0</v>
      </c>
      <c r="L85" s="251">
        <v>0</v>
      </c>
      <c r="M85" s="154">
        <f t="shared" si="79"/>
        <v>0</v>
      </c>
      <c r="N85" s="156">
        <f t="shared" si="80"/>
        <v>0</v>
      </c>
      <c r="O85" s="214">
        <v>0</v>
      </c>
      <c r="P85" s="215">
        <v>0</v>
      </c>
      <c r="Q85" s="215">
        <v>0</v>
      </c>
      <c r="R85" s="215">
        <v>0</v>
      </c>
      <c r="S85" s="215">
        <v>0</v>
      </c>
      <c r="T85" s="215">
        <v>0</v>
      </c>
      <c r="U85" s="215">
        <v>0</v>
      </c>
      <c r="V85" s="215">
        <v>0</v>
      </c>
      <c r="W85" s="215">
        <v>0</v>
      </c>
      <c r="X85" s="215">
        <v>0</v>
      </c>
      <c r="Y85" s="251">
        <v>0</v>
      </c>
      <c r="Z85" s="154">
        <f t="shared" si="81"/>
        <v>0</v>
      </c>
      <c r="AA85" s="156">
        <f t="shared" si="82"/>
        <v>0</v>
      </c>
      <c r="AB85" s="795">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796">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069">
        <f t="shared" si="75"/>
        <v>0</v>
      </c>
      <c r="AE85" s="784">
        <f t="shared" si="76"/>
        <v>0</v>
      </c>
      <c r="AF85" s="784">
        <f t="shared" si="77"/>
        <v>0</v>
      </c>
      <c r="AG85" s="784">
        <f t="shared" si="78"/>
        <v>0</v>
      </c>
      <c r="AH85" s="1015">
        <f t="shared" si="83"/>
        <v>0</v>
      </c>
      <c r="AI85" s="784">
        <f t="shared" si="84"/>
        <v>0</v>
      </c>
    </row>
    <row r="86" spans="1:38" x14ac:dyDescent="0.2">
      <c r="A86" s="202">
        <v>2017</v>
      </c>
      <c r="B86" s="216">
        <v>0</v>
      </c>
      <c r="C86" s="217">
        <v>0</v>
      </c>
      <c r="D86" s="217">
        <v>0</v>
      </c>
      <c r="E86" s="217">
        <v>0</v>
      </c>
      <c r="F86" s="217">
        <v>0</v>
      </c>
      <c r="G86" s="217">
        <v>0</v>
      </c>
      <c r="H86" s="217">
        <v>0</v>
      </c>
      <c r="I86" s="217">
        <v>0</v>
      </c>
      <c r="J86" s="217">
        <v>0</v>
      </c>
      <c r="K86" s="217">
        <v>0</v>
      </c>
      <c r="L86" s="252">
        <v>0</v>
      </c>
      <c r="M86" s="168">
        <f t="shared" si="79"/>
        <v>0</v>
      </c>
      <c r="N86" s="170">
        <f t="shared" si="80"/>
        <v>0</v>
      </c>
      <c r="O86" s="216">
        <v>0</v>
      </c>
      <c r="P86" s="217">
        <v>0</v>
      </c>
      <c r="Q86" s="217">
        <v>0</v>
      </c>
      <c r="R86" s="217">
        <v>0</v>
      </c>
      <c r="S86" s="217">
        <v>0</v>
      </c>
      <c r="T86" s="217">
        <v>0</v>
      </c>
      <c r="U86" s="217">
        <v>0</v>
      </c>
      <c r="V86" s="217">
        <v>0</v>
      </c>
      <c r="W86" s="217">
        <v>0</v>
      </c>
      <c r="X86" s="217">
        <v>0</v>
      </c>
      <c r="Y86" s="252">
        <v>0</v>
      </c>
      <c r="Z86" s="168">
        <f t="shared" si="81"/>
        <v>0</v>
      </c>
      <c r="AA86" s="170">
        <f t="shared" si="82"/>
        <v>0</v>
      </c>
      <c r="AB86" s="795">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796">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069">
        <f t="shared" si="75"/>
        <v>0</v>
      </c>
      <c r="AE86" s="784">
        <f t="shared" si="76"/>
        <v>0</v>
      </c>
      <c r="AF86" s="784">
        <f t="shared" si="77"/>
        <v>0</v>
      </c>
      <c r="AG86" s="784">
        <f t="shared" si="78"/>
        <v>0</v>
      </c>
      <c r="AH86" s="1015">
        <f t="shared" si="83"/>
        <v>0</v>
      </c>
      <c r="AI86" s="784">
        <f t="shared" si="84"/>
        <v>0</v>
      </c>
    </row>
    <row r="87" spans="1:38" x14ac:dyDescent="0.2">
      <c r="A87" s="202">
        <v>2018</v>
      </c>
      <c r="B87" s="216">
        <v>0</v>
      </c>
      <c r="C87" s="217">
        <v>0</v>
      </c>
      <c r="D87" s="217">
        <v>0</v>
      </c>
      <c r="E87" s="217">
        <v>0</v>
      </c>
      <c r="F87" s="217">
        <v>0</v>
      </c>
      <c r="G87" s="217">
        <v>0</v>
      </c>
      <c r="H87" s="217">
        <v>0</v>
      </c>
      <c r="I87" s="217">
        <v>0</v>
      </c>
      <c r="J87" s="217">
        <v>0</v>
      </c>
      <c r="K87" s="217">
        <v>0</v>
      </c>
      <c r="L87" s="252">
        <v>0</v>
      </c>
      <c r="M87" s="168">
        <f t="shared" si="79"/>
        <v>0</v>
      </c>
      <c r="N87" s="170">
        <f t="shared" si="80"/>
        <v>0</v>
      </c>
      <c r="O87" s="216">
        <v>0</v>
      </c>
      <c r="P87" s="217">
        <v>0</v>
      </c>
      <c r="Q87" s="217">
        <v>0</v>
      </c>
      <c r="R87" s="217">
        <v>0</v>
      </c>
      <c r="S87" s="217">
        <v>0</v>
      </c>
      <c r="T87" s="217">
        <v>0</v>
      </c>
      <c r="U87" s="217">
        <v>0</v>
      </c>
      <c r="V87" s="217">
        <v>0</v>
      </c>
      <c r="W87" s="217">
        <v>0</v>
      </c>
      <c r="X87" s="217">
        <v>0</v>
      </c>
      <c r="Y87" s="252">
        <v>0</v>
      </c>
      <c r="Z87" s="168">
        <f t="shared" si="81"/>
        <v>0</v>
      </c>
      <c r="AA87" s="170">
        <f t="shared" si="82"/>
        <v>0</v>
      </c>
      <c r="AB87" s="795">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796">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069">
        <f t="shared" si="75"/>
        <v>0</v>
      </c>
      <c r="AE87" s="784">
        <f t="shared" si="76"/>
        <v>0</v>
      </c>
      <c r="AF87" s="784">
        <f t="shared" si="77"/>
        <v>0</v>
      </c>
      <c r="AG87" s="784">
        <f t="shared" si="78"/>
        <v>0</v>
      </c>
      <c r="AH87" s="1015">
        <f t="shared" si="83"/>
        <v>0</v>
      </c>
      <c r="AI87" s="784">
        <f t="shared" si="84"/>
        <v>0</v>
      </c>
    </row>
    <row r="88" spans="1:38" x14ac:dyDescent="0.2">
      <c r="A88" s="202">
        <v>2019</v>
      </c>
      <c r="B88" s="216">
        <v>0</v>
      </c>
      <c r="C88" s="217">
        <v>0</v>
      </c>
      <c r="D88" s="217">
        <v>0</v>
      </c>
      <c r="E88" s="217">
        <v>0</v>
      </c>
      <c r="F88" s="217">
        <v>0</v>
      </c>
      <c r="G88" s="217">
        <v>0</v>
      </c>
      <c r="H88" s="217">
        <v>0</v>
      </c>
      <c r="I88" s="217">
        <v>0</v>
      </c>
      <c r="J88" s="217">
        <v>0</v>
      </c>
      <c r="K88" s="217">
        <v>0</v>
      </c>
      <c r="L88" s="252">
        <v>0</v>
      </c>
      <c r="M88" s="168">
        <f t="shared" si="79"/>
        <v>0</v>
      </c>
      <c r="N88" s="170">
        <f t="shared" si="80"/>
        <v>0</v>
      </c>
      <c r="O88" s="216">
        <v>0</v>
      </c>
      <c r="P88" s="217">
        <v>0</v>
      </c>
      <c r="Q88" s="217">
        <v>0</v>
      </c>
      <c r="R88" s="217">
        <v>0</v>
      </c>
      <c r="S88" s="217">
        <v>0</v>
      </c>
      <c r="T88" s="217">
        <v>0</v>
      </c>
      <c r="U88" s="217">
        <v>0</v>
      </c>
      <c r="V88" s="217">
        <v>0</v>
      </c>
      <c r="W88" s="217">
        <v>0</v>
      </c>
      <c r="X88" s="217">
        <v>0</v>
      </c>
      <c r="Y88" s="252">
        <v>0</v>
      </c>
      <c r="Z88" s="168">
        <f t="shared" si="81"/>
        <v>0</v>
      </c>
      <c r="AA88" s="170">
        <f t="shared" si="82"/>
        <v>0</v>
      </c>
      <c r="AB88" s="795">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796">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069">
        <f t="shared" si="75"/>
        <v>0</v>
      </c>
      <c r="AE88" s="784">
        <f t="shared" si="76"/>
        <v>0</v>
      </c>
      <c r="AF88" s="784">
        <f t="shared" si="77"/>
        <v>0</v>
      </c>
      <c r="AG88" s="784">
        <f t="shared" si="78"/>
        <v>0</v>
      </c>
      <c r="AH88" s="1015">
        <f t="shared" si="83"/>
        <v>0</v>
      </c>
      <c r="AI88" s="784">
        <f t="shared" si="84"/>
        <v>0</v>
      </c>
    </row>
    <row r="89" spans="1:38" ht="13.5" thickBot="1" x14ac:dyDescent="0.25">
      <c r="A89" s="200">
        <v>2020</v>
      </c>
      <c r="B89" s="218">
        <v>0</v>
      </c>
      <c r="C89" s="219">
        <v>0</v>
      </c>
      <c r="D89" s="219">
        <v>0</v>
      </c>
      <c r="E89" s="219">
        <v>0</v>
      </c>
      <c r="F89" s="219">
        <v>0</v>
      </c>
      <c r="G89" s="219">
        <v>0</v>
      </c>
      <c r="H89" s="219">
        <v>0</v>
      </c>
      <c r="I89" s="219">
        <v>0</v>
      </c>
      <c r="J89" s="219">
        <v>0</v>
      </c>
      <c r="K89" s="219">
        <v>0</v>
      </c>
      <c r="L89" s="253">
        <v>0</v>
      </c>
      <c r="M89" s="182">
        <f t="shared" si="79"/>
        <v>0</v>
      </c>
      <c r="N89" s="184">
        <f t="shared" si="80"/>
        <v>0</v>
      </c>
      <c r="O89" s="218">
        <v>0</v>
      </c>
      <c r="P89" s="219">
        <v>0</v>
      </c>
      <c r="Q89" s="219">
        <v>0</v>
      </c>
      <c r="R89" s="219">
        <v>0</v>
      </c>
      <c r="S89" s="219">
        <v>0</v>
      </c>
      <c r="T89" s="219">
        <v>0</v>
      </c>
      <c r="U89" s="219">
        <v>0</v>
      </c>
      <c r="V89" s="219">
        <v>0</v>
      </c>
      <c r="W89" s="219">
        <v>0</v>
      </c>
      <c r="X89" s="219">
        <v>0</v>
      </c>
      <c r="Y89" s="253">
        <v>0</v>
      </c>
      <c r="Z89" s="182">
        <f t="shared" si="81"/>
        <v>0</v>
      </c>
      <c r="AA89" s="184">
        <f t="shared" si="82"/>
        <v>0</v>
      </c>
      <c r="AB89" s="795">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796">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069">
        <f t="shared" si="75"/>
        <v>0</v>
      </c>
      <c r="AE89" s="784">
        <f t="shared" si="76"/>
        <v>0</v>
      </c>
      <c r="AF89" s="784">
        <f t="shared" si="77"/>
        <v>0</v>
      </c>
      <c r="AG89" s="784">
        <f t="shared" si="78"/>
        <v>0</v>
      </c>
      <c r="AH89" s="1015">
        <f t="shared" si="83"/>
        <v>0</v>
      </c>
      <c r="AI89" s="784">
        <f t="shared" si="84"/>
        <v>0</v>
      </c>
    </row>
    <row r="90" spans="1:38" x14ac:dyDescent="0.2">
      <c r="A90" s="201">
        <v>2021</v>
      </c>
      <c r="B90" s="214">
        <v>0</v>
      </c>
      <c r="C90" s="215">
        <v>0</v>
      </c>
      <c r="D90" s="215">
        <v>0</v>
      </c>
      <c r="E90" s="215">
        <v>0</v>
      </c>
      <c r="F90" s="215">
        <v>0</v>
      </c>
      <c r="G90" s="215">
        <v>0</v>
      </c>
      <c r="H90" s="215">
        <v>0</v>
      </c>
      <c r="I90" s="215">
        <v>0</v>
      </c>
      <c r="J90" s="215">
        <v>0</v>
      </c>
      <c r="K90" s="215">
        <v>0</v>
      </c>
      <c r="L90" s="251">
        <v>0</v>
      </c>
      <c r="M90" s="154">
        <f t="shared" si="79"/>
        <v>0</v>
      </c>
      <c r="N90" s="156">
        <f t="shared" si="80"/>
        <v>0</v>
      </c>
      <c r="O90" s="214">
        <v>0</v>
      </c>
      <c r="P90" s="215">
        <v>0</v>
      </c>
      <c r="Q90" s="215">
        <v>0</v>
      </c>
      <c r="R90" s="215">
        <v>0</v>
      </c>
      <c r="S90" s="215">
        <v>0</v>
      </c>
      <c r="T90" s="215">
        <v>0</v>
      </c>
      <c r="U90" s="215">
        <v>0</v>
      </c>
      <c r="V90" s="215">
        <v>0</v>
      </c>
      <c r="W90" s="215">
        <v>0</v>
      </c>
      <c r="X90" s="215">
        <v>0</v>
      </c>
      <c r="Y90" s="251">
        <v>0</v>
      </c>
      <c r="Z90" s="154">
        <f t="shared" si="81"/>
        <v>0</v>
      </c>
      <c r="AA90" s="156">
        <f t="shared" si="82"/>
        <v>0</v>
      </c>
      <c r="AB90" s="795">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796">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069">
        <f t="shared" si="75"/>
        <v>0</v>
      </c>
      <c r="AE90" s="784">
        <f t="shared" si="76"/>
        <v>0</v>
      </c>
      <c r="AF90" s="784">
        <f t="shared" si="77"/>
        <v>0</v>
      </c>
      <c r="AG90" s="784">
        <f t="shared" si="78"/>
        <v>0</v>
      </c>
      <c r="AH90" s="1015">
        <f t="shared" si="83"/>
        <v>0</v>
      </c>
      <c r="AI90" s="784">
        <f t="shared" si="84"/>
        <v>0</v>
      </c>
    </row>
    <row r="91" spans="1:38" x14ac:dyDescent="0.2">
      <c r="A91" s="202">
        <v>2022</v>
      </c>
      <c r="B91" s="216">
        <v>0</v>
      </c>
      <c r="C91" s="217">
        <v>0</v>
      </c>
      <c r="D91" s="217">
        <v>0</v>
      </c>
      <c r="E91" s="217">
        <v>0</v>
      </c>
      <c r="F91" s="217">
        <v>0</v>
      </c>
      <c r="G91" s="217">
        <v>0</v>
      </c>
      <c r="H91" s="217">
        <v>0</v>
      </c>
      <c r="I91" s="217">
        <v>0</v>
      </c>
      <c r="J91" s="217">
        <v>0</v>
      </c>
      <c r="K91" s="217">
        <v>0</v>
      </c>
      <c r="L91" s="252">
        <v>0</v>
      </c>
      <c r="M91" s="168">
        <f t="shared" si="79"/>
        <v>0</v>
      </c>
      <c r="N91" s="170">
        <f t="shared" si="80"/>
        <v>0</v>
      </c>
      <c r="O91" s="216">
        <v>0</v>
      </c>
      <c r="P91" s="217">
        <v>0</v>
      </c>
      <c r="Q91" s="217">
        <v>0</v>
      </c>
      <c r="R91" s="217">
        <v>0</v>
      </c>
      <c r="S91" s="217">
        <v>0</v>
      </c>
      <c r="T91" s="217">
        <v>0</v>
      </c>
      <c r="U91" s="217">
        <v>0</v>
      </c>
      <c r="V91" s="217">
        <v>0</v>
      </c>
      <c r="W91" s="217">
        <v>0</v>
      </c>
      <c r="X91" s="217">
        <v>0</v>
      </c>
      <c r="Y91" s="252">
        <v>0</v>
      </c>
      <c r="Z91" s="168">
        <f t="shared" si="81"/>
        <v>0</v>
      </c>
      <c r="AA91" s="170">
        <f t="shared" si="82"/>
        <v>0</v>
      </c>
      <c r="AB91" s="795">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796">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069">
        <f t="shared" si="75"/>
        <v>0</v>
      </c>
      <c r="AE91" s="784">
        <f>SUMPRODUCT($B$74:$L$74,B91:L91)</f>
        <v>0</v>
      </c>
      <c r="AF91" s="784">
        <f>SUMPRODUCT($O$74:$Y$74,O91:Y91)</f>
        <v>0</v>
      </c>
      <c r="AG91" s="784">
        <f>SUM(AE91:AF91)</f>
        <v>0</v>
      </c>
      <c r="AH91" s="1015">
        <f t="shared" si="83"/>
        <v>0</v>
      </c>
      <c r="AI91" s="784">
        <f t="shared" si="84"/>
        <v>0</v>
      </c>
      <c r="AK91" s="1014"/>
      <c r="AL91" s="1014"/>
    </row>
    <row r="92" spans="1:38" x14ac:dyDescent="0.2">
      <c r="A92" s="202">
        <v>2023</v>
      </c>
      <c r="B92" s="216">
        <v>0</v>
      </c>
      <c r="C92" s="217">
        <v>0</v>
      </c>
      <c r="D92" s="217">
        <v>0</v>
      </c>
      <c r="E92" s="217">
        <v>0</v>
      </c>
      <c r="F92" s="217">
        <v>0</v>
      </c>
      <c r="G92" s="217">
        <v>0</v>
      </c>
      <c r="H92" s="217">
        <v>0</v>
      </c>
      <c r="I92" s="217">
        <v>0</v>
      </c>
      <c r="J92" s="217">
        <v>0</v>
      </c>
      <c r="K92" s="217">
        <v>0</v>
      </c>
      <c r="L92" s="252">
        <v>0</v>
      </c>
      <c r="M92" s="168">
        <f t="shared" si="79"/>
        <v>0</v>
      </c>
      <c r="N92" s="170">
        <f t="shared" si="80"/>
        <v>0</v>
      </c>
      <c r="O92" s="216">
        <v>0</v>
      </c>
      <c r="P92" s="217">
        <v>0</v>
      </c>
      <c r="Q92" s="217">
        <v>0</v>
      </c>
      <c r="R92" s="217">
        <v>0</v>
      </c>
      <c r="S92" s="217">
        <v>0</v>
      </c>
      <c r="T92" s="217">
        <v>0</v>
      </c>
      <c r="U92" s="217">
        <v>0</v>
      </c>
      <c r="V92" s="217">
        <v>0</v>
      </c>
      <c r="W92" s="217">
        <v>0</v>
      </c>
      <c r="X92" s="217">
        <v>0</v>
      </c>
      <c r="Y92" s="252">
        <v>0</v>
      </c>
      <c r="Z92" s="168">
        <f t="shared" si="81"/>
        <v>0</v>
      </c>
      <c r="AA92" s="170">
        <f t="shared" si="82"/>
        <v>0</v>
      </c>
      <c r="AB92" s="795">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796">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069">
        <f t="shared" si="75"/>
        <v>0</v>
      </c>
      <c r="AE92" s="784">
        <f t="shared" ref="AE92:AE119" si="85">SUMPRODUCT($B$74:$L$74,B92:L92)</f>
        <v>0</v>
      </c>
      <c r="AF92" s="784">
        <f t="shared" ref="AF92:AF119" si="86">SUMPRODUCT($O$74:$Y$74,O92:Y92)</f>
        <v>0</v>
      </c>
      <c r="AG92" s="784">
        <f t="shared" ref="AG92:AG119" si="87">SUM(AE92:AF92)</f>
        <v>0</v>
      </c>
      <c r="AH92" s="1015">
        <f t="shared" si="83"/>
        <v>0</v>
      </c>
      <c r="AI92" s="784">
        <f t="shared" si="84"/>
        <v>0</v>
      </c>
      <c r="AK92" s="1014"/>
      <c r="AL92" s="1014"/>
    </row>
    <row r="93" spans="1:38" x14ac:dyDescent="0.2">
      <c r="A93" s="202">
        <v>2024</v>
      </c>
      <c r="B93" s="216">
        <v>0</v>
      </c>
      <c r="C93" s="217">
        <v>0</v>
      </c>
      <c r="D93" s="217">
        <v>0</v>
      </c>
      <c r="E93" s="217">
        <v>0</v>
      </c>
      <c r="F93" s="217">
        <v>0</v>
      </c>
      <c r="G93" s="217">
        <v>0</v>
      </c>
      <c r="H93" s="217">
        <v>0</v>
      </c>
      <c r="I93" s="217">
        <v>0</v>
      </c>
      <c r="J93" s="217">
        <v>0</v>
      </c>
      <c r="K93" s="217">
        <v>0</v>
      </c>
      <c r="L93" s="252">
        <v>0</v>
      </c>
      <c r="M93" s="168">
        <f t="shared" si="79"/>
        <v>0</v>
      </c>
      <c r="N93" s="170">
        <f t="shared" si="80"/>
        <v>0</v>
      </c>
      <c r="O93" s="216">
        <v>0</v>
      </c>
      <c r="P93" s="217">
        <v>0</v>
      </c>
      <c r="Q93" s="217">
        <v>0</v>
      </c>
      <c r="R93" s="217">
        <v>0</v>
      </c>
      <c r="S93" s="217">
        <v>0</v>
      </c>
      <c r="T93" s="217">
        <v>0</v>
      </c>
      <c r="U93" s="217">
        <v>0</v>
      </c>
      <c r="V93" s="217">
        <v>0</v>
      </c>
      <c r="W93" s="217">
        <v>0</v>
      </c>
      <c r="X93" s="217">
        <v>0</v>
      </c>
      <c r="Y93" s="252">
        <v>0</v>
      </c>
      <c r="Z93" s="168">
        <f t="shared" si="81"/>
        <v>0</v>
      </c>
      <c r="AA93" s="170">
        <f t="shared" si="82"/>
        <v>0</v>
      </c>
      <c r="AB93" s="795">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796">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069">
        <f t="shared" si="75"/>
        <v>0</v>
      </c>
      <c r="AE93" s="784">
        <f t="shared" si="85"/>
        <v>0</v>
      </c>
      <c r="AF93" s="784">
        <f t="shared" si="86"/>
        <v>0</v>
      </c>
      <c r="AG93" s="784">
        <f t="shared" si="87"/>
        <v>0</v>
      </c>
      <c r="AH93" s="1015">
        <f t="shared" si="83"/>
        <v>0</v>
      </c>
      <c r="AI93" s="784">
        <f t="shared" si="84"/>
        <v>0</v>
      </c>
      <c r="AK93" s="1014"/>
      <c r="AL93" s="1014"/>
    </row>
    <row r="94" spans="1:38" ht="13.5" thickBot="1" x14ac:dyDescent="0.25">
      <c r="A94" s="200">
        <v>2025</v>
      </c>
      <c r="B94" s="218">
        <v>0</v>
      </c>
      <c r="C94" s="219">
        <v>0</v>
      </c>
      <c r="D94" s="219">
        <v>0</v>
      </c>
      <c r="E94" s="219">
        <v>0</v>
      </c>
      <c r="F94" s="219">
        <v>0</v>
      </c>
      <c r="G94" s="219">
        <v>0</v>
      </c>
      <c r="H94" s="219">
        <v>0</v>
      </c>
      <c r="I94" s="219">
        <v>0</v>
      </c>
      <c r="J94" s="219">
        <v>0</v>
      </c>
      <c r="K94" s="219">
        <v>0</v>
      </c>
      <c r="L94" s="253">
        <v>0</v>
      </c>
      <c r="M94" s="182">
        <f t="shared" si="79"/>
        <v>0</v>
      </c>
      <c r="N94" s="184">
        <f t="shared" si="80"/>
        <v>0</v>
      </c>
      <c r="O94" s="218">
        <v>0</v>
      </c>
      <c r="P94" s="219">
        <v>0</v>
      </c>
      <c r="Q94" s="219">
        <v>0</v>
      </c>
      <c r="R94" s="219">
        <v>0</v>
      </c>
      <c r="S94" s="219">
        <v>0</v>
      </c>
      <c r="T94" s="219">
        <v>0</v>
      </c>
      <c r="U94" s="219">
        <v>0</v>
      </c>
      <c r="V94" s="219">
        <v>0</v>
      </c>
      <c r="W94" s="219">
        <v>0</v>
      </c>
      <c r="X94" s="219">
        <v>0</v>
      </c>
      <c r="Y94" s="253">
        <v>0</v>
      </c>
      <c r="Z94" s="182">
        <f t="shared" si="81"/>
        <v>0</v>
      </c>
      <c r="AA94" s="184">
        <f t="shared" si="82"/>
        <v>0</v>
      </c>
      <c r="AB94" s="795">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796">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069">
        <f t="shared" si="75"/>
        <v>0</v>
      </c>
      <c r="AE94" s="784">
        <f t="shared" si="85"/>
        <v>0</v>
      </c>
      <c r="AF94" s="784">
        <f t="shared" si="86"/>
        <v>0</v>
      </c>
      <c r="AG94" s="784">
        <f t="shared" si="87"/>
        <v>0</v>
      </c>
      <c r="AH94" s="1015">
        <f t="shared" si="83"/>
        <v>0</v>
      </c>
      <c r="AI94" s="784">
        <f t="shared" si="84"/>
        <v>0</v>
      </c>
      <c r="AK94" s="1014"/>
      <c r="AL94" s="1014"/>
    </row>
    <row r="95" spans="1:38" x14ac:dyDescent="0.2">
      <c r="A95" s="201">
        <v>2026</v>
      </c>
      <c r="B95" s="214">
        <v>0</v>
      </c>
      <c r="C95" s="215">
        <v>0</v>
      </c>
      <c r="D95" s="215">
        <v>2.763662815430864E-3</v>
      </c>
      <c r="E95" s="215">
        <v>1.0157047551563462E-2</v>
      </c>
      <c r="F95" s="215">
        <v>1.4428055983508908E-2</v>
      </c>
      <c r="G95" s="215">
        <v>1.8157088495053143E-2</v>
      </c>
      <c r="H95" s="215">
        <v>2.0738639905211052E-2</v>
      </c>
      <c r="I95" s="215">
        <v>2.1602235154256678E-2</v>
      </c>
      <c r="J95" s="215">
        <v>2.2741142846628915E-2</v>
      </c>
      <c r="K95" s="215">
        <v>2.2833114358248262E-2</v>
      </c>
      <c r="L95" s="251">
        <v>2.3610397588033325E-2</v>
      </c>
      <c r="M95" s="154">
        <f t="shared" si="79"/>
        <v>9.1876308213046862E-3</v>
      </c>
      <c r="N95" s="156">
        <f t="shared" si="80"/>
        <v>6.2054478016593416E-3</v>
      </c>
      <c r="O95" s="214">
        <v>0</v>
      </c>
      <c r="P95" s="215">
        <v>2.3681049753392533E-5</v>
      </c>
      <c r="Q95" s="215">
        <v>4.1419734984408209E-3</v>
      </c>
      <c r="R95" s="215">
        <v>1.1100647268571096E-2</v>
      </c>
      <c r="S95" s="215">
        <v>1.6597464276858136E-2</v>
      </c>
      <c r="T95" s="215">
        <v>1.9754019631560225E-2</v>
      </c>
      <c r="U95" s="215">
        <v>2.0738639905211052E-2</v>
      </c>
      <c r="V95" s="215">
        <v>2.1602235154256678E-2</v>
      </c>
      <c r="W95" s="215">
        <v>2.3216666546076452E-2</v>
      </c>
      <c r="X95" s="215">
        <v>2.3260263521122884E-2</v>
      </c>
      <c r="Y95" s="251">
        <v>2.3314115619830451E-2</v>
      </c>
      <c r="Z95" s="154">
        <f t="shared" si="81"/>
        <v>5.6122383819129816E-3</v>
      </c>
      <c r="AA95" s="156">
        <f t="shared" si="82"/>
        <v>4.1519432817617111E-3</v>
      </c>
      <c r="AB95" s="795">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796">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069">
        <f t="shared" si="75"/>
        <v>0</v>
      </c>
      <c r="AE95" s="784">
        <f t="shared" si="85"/>
        <v>9.1876308213046862E-3</v>
      </c>
      <c r="AF95" s="784">
        <f t="shared" si="86"/>
        <v>5.6122383819129816E-3</v>
      </c>
      <c r="AG95" s="784">
        <f t="shared" si="87"/>
        <v>1.4799869203217669E-2</v>
      </c>
      <c r="AH95" s="1015">
        <f t="shared" si="83"/>
        <v>0.62079135262271001</v>
      </c>
      <c r="AI95" s="784">
        <f t="shared" si="84"/>
        <v>0.37920864737728993</v>
      </c>
      <c r="AK95" s="1014"/>
      <c r="AL95" s="1014"/>
    </row>
    <row r="96" spans="1:38" x14ac:dyDescent="0.2">
      <c r="A96" s="202">
        <v>2027</v>
      </c>
      <c r="B96" s="216">
        <v>0</v>
      </c>
      <c r="C96" s="217">
        <v>0</v>
      </c>
      <c r="D96" s="217">
        <v>8.744052194781084E-4</v>
      </c>
      <c r="E96" s="217">
        <v>8.8678521401757728E-3</v>
      </c>
      <c r="F96" s="217">
        <v>2.0949930261172832E-2</v>
      </c>
      <c r="G96" s="217">
        <v>3.0898116506281732E-2</v>
      </c>
      <c r="H96" s="217">
        <v>3.9845012184161671E-2</v>
      </c>
      <c r="I96" s="217">
        <v>4.5799484649158055E-2</v>
      </c>
      <c r="J96" s="217">
        <v>4.845851744035292E-2</v>
      </c>
      <c r="K96" s="217">
        <v>5.1915852071578741E-2</v>
      </c>
      <c r="L96" s="252">
        <v>5.4075350556020252E-2</v>
      </c>
      <c r="M96" s="168">
        <f t="shared" si="79"/>
        <v>1.6202380343874501E-2</v>
      </c>
      <c r="N96" s="170">
        <f t="shared" si="80"/>
        <v>9.9619851173544556E-3</v>
      </c>
      <c r="O96" s="216">
        <v>0</v>
      </c>
      <c r="P96" s="217">
        <v>0</v>
      </c>
      <c r="Q96" s="217">
        <v>1.9717910706981302E-3</v>
      </c>
      <c r="R96" s="217">
        <v>1.1899090264975343E-2</v>
      </c>
      <c r="S96" s="217">
        <v>2.4354146228347171E-2</v>
      </c>
      <c r="T96" s="217">
        <v>3.6899981259341304E-2</v>
      </c>
      <c r="U96" s="217">
        <v>4.1856359814476683E-2</v>
      </c>
      <c r="V96" s="217">
        <v>4.4695852077587438E-2</v>
      </c>
      <c r="W96" s="217">
        <v>5.2938496924330024E-2</v>
      </c>
      <c r="X96" s="217">
        <v>5.3487873583694549E-2</v>
      </c>
      <c r="Y96" s="252">
        <v>5.6230157001016544E-2</v>
      </c>
      <c r="Z96" s="168">
        <f t="shared" si="81"/>
        <v>9.6715396342418759E-3</v>
      </c>
      <c r="AA96" s="170">
        <f t="shared" si="82"/>
        <v>6.5415573132579178E-3</v>
      </c>
      <c r="AB96" s="795">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796">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069">
        <f t="shared" si="75"/>
        <v>0</v>
      </c>
      <c r="AE96" s="784">
        <f t="shared" si="85"/>
        <v>1.6202380343874501E-2</v>
      </c>
      <c r="AF96" s="784">
        <f t="shared" si="86"/>
        <v>9.6715396342418759E-3</v>
      </c>
      <c r="AG96" s="784">
        <f t="shared" si="87"/>
        <v>2.5873919978116375E-2</v>
      </c>
      <c r="AH96" s="1015">
        <f t="shared" si="83"/>
        <v>0.62620508827337096</v>
      </c>
      <c r="AI96" s="784">
        <f t="shared" si="84"/>
        <v>0.3737949117266291</v>
      </c>
      <c r="AK96" s="1014"/>
      <c r="AL96" s="1014"/>
    </row>
    <row r="97" spans="1:38" x14ac:dyDescent="0.2">
      <c r="A97" s="202">
        <v>2028</v>
      </c>
      <c r="B97" s="216">
        <v>0</v>
      </c>
      <c r="C97" s="217">
        <v>0</v>
      </c>
      <c r="D97" s="217">
        <v>8.6449331994127212E-3</v>
      </c>
      <c r="E97" s="217">
        <v>3.9752214849307722E-2</v>
      </c>
      <c r="F97" s="217">
        <v>6.7460438079625248E-2</v>
      </c>
      <c r="G97" s="217">
        <v>8.7720242596396228E-2</v>
      </c>
      <c r="H97" s="217">
        <v>0.1031759468737059</v>
      </c>
      <c r="I97" s="217">
        <v>0.11554016761986592</v>
      </c>
      <c r="J97" s="217">
        <v>0.12271023254136564</v>
      </c>
      <c r="K97" s="217">
        <v>0.12374911669388675</v>
      </c>
      <c r="L97" s="252">
        <v>0.12922691618175336</v>
      </c>
      <c r="M97" s="168">
        <f t="shared" si="79"/>
        <v>4.5144896184263691E-2</v>
      </c>
      <c r="N97" s="170">
        <f t="shared" si="80"/>
        <v>2.9416344863403741E-2</v>
      </c>
      <c r="O97" s="216">
        <v>0</v>
      </c>
      <c r="P97" s="217">
        <v>0</v>
      </c>
      <c r="Q97" s="217">
        <v>1.3446210884944635E-2</v>
      </c>
      <c r="R97" s="217">
        <v>5.0615257859102994E-2</v>
      </c>
      <c r="S97" s="217">
        <v>7.642042565104594E-2</v>
      </c>
      <c r="T97" s="217">
        <v>9.4293026357903112E-2</v>
      </c>
      <c r="U97" s="217">
        <v>0.10746114416066437</v>
      </c>
      <c r="V97" s="217">
        <v>0.11554016761986592</v>
      </c>
      <c r="W97" s="217">
        <v>0.12585539737245843</v>
      </c>
      <c r="X97" s="217">
        <v>0.12667349078848242</v>
      </c>
      <c r="Y97" s="252">
        <v>0.13136562038367317</v>
      </c>
      <c r="Z97" s="168">
        <f t="shared" si="81"/>
        <v>2.7331992412873832E-2</v>
      </c>
      <c r="AA97" s="170">
        <f t="shared" si="82"/>
        <v>1.9626660062025791E-2</v>
      </c>
      <c r="AB97" s="795">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796">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069">
        <f t="shared" si="75"/>
        <v>0</v>
      </c>
      <c r="AE97" s="784">
        <f t="shared" si="85"/>
        <v>4.5144896184263691E-2</v>
      </c>
      <c r="AF97" s="784">
        <f t="shared" si="86"/>
        <v>2.7331992412873832E-2</v>
      </c>
      <c r="AG97" s="784">
        <f t="shared" si="87"/>
        <v>7.2476888597137523E-2</v>
      </c>
      <c r="AH97" s="1015">
        <f t="shared" si="83"/>
        <v>0.62288678581666779</v>
      </c>
      <c r="AI97" s="784">
        <f t="shared" si="84"/>
        <v>0.37711321418333221</v>
      </c>
      <c r="AK97" s="1014"/>
      <c r="AL97" s="1014"/>
    </row>
    <row r="98" spans="1:38" x14ac:dyDescent="0.2">
      <c r="A98" s="202">
        <v>2029</v>
      </c>
      <c r="B98" s="216">
        <v>0</v>
      </c>
      <c r="C98" s="217">
        <v>0</v>
      </c>
      <c r="D98" s="217">
        <v>2.8714972408589931E-2</v>
      </c>
      <c r="E98" s="217">
        <v>9.0821121680293465E-2</v>
      </c>
      <c r="F98" s="217">
        <v>0.15043821036669028</v>
      </c>
      <c r="G98" s="217">
        <v>0.17989119939428946</v>
      </c>
      <c r="H98" s="217">
        <v>0.20722803233241546</v>
      </c>
      <c r="I98" s="217">
        <v>0.22145867401383734</v>
      </c>
      <c r="J98" s="217">
        <v>0.22979743048902918</v>
      </c>
      <c r="K98" s="217">
        <v>0.23522783969860819</v>
      </c>
      <c r="L98" s="252">
        <v>0.24394085212614558</v>
      </c>
      <c r="M98" s="168">
        <f t="shared" si="79"/>
        <v>9.2481271341696508E-2</v>
      </c>
      <c r="N98" s="170">
        <f t="shared" si="80"/>
        <v>6.2090138545924191E-2</v>
      </c>
      <c r="O98" s="216">
        <v>0</v>
      </c>
      <c r="P98" s="217">
        <v>3.5672958256854079E-4</v>
      </c>
      <c r="Q98" s="217">
        <v>4.259786353015018E-2</v>
      </c>
      <c r="R98" s="217">
        <v>0.11696984788787097</v>
      </c>
      <c r="S98" s="217">
        <v>0.15904649903922974</v>
      </c>
      <c r="T98" s="217">
        <v>0.19159431792653842</v>
      </c>
      <c r="U98" s="217">
        <v>0.21922865065013084</v>
      </c>
      <c r="V98" s="217">
        <v>0.21718004711671091</v>
      </c>
      <c r="W98" s="217">
        <v>0.23522783969860819</v>
      </c>
      <c r="X98" s="217">
        <v>0.23996940816946602</v>
      </c>
      <c r="Y98" s="252">
        <v>0.24122865326038528</v>
      </c>
      <c r="Z98" s="168">
        <f t="shared" si="81"/>
        <v>5.6434631709385639E-2</v>
      </c>
      <c r="AA98" s="170">
        <f t="shared" si="82"/>
        <v>4.1704824606735968E-2</v>
      </c>
      <c r="AB98" s="795">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796">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069">
        <f t="shared" si="75"/>
        <v>0</v>
      </c>
      <c r="AE98" s="784">
        <f t="shared" si="85"/>
        <v>9.2481271341696508E-2</v>
      </c>
      <c r="AF98" s="784">
        <f t="shared" si="86"/>
        <v>5.6434631709385639E-2</v>
      </c>
      <c r="AG98" s="784">
        <f t="shared" si="87"/>
        <v>0.14891590305108215</v>
      </c>
      <c r="AH98" s="1015">
        <f t="shared" si="83"/>
        <v>0.62103018849486447</v>
      </c>
      <c r="AI98" s="784">
        <f t="shared" si="84"/>
        <v>0.37896981150513553</v>
      </c>
      <c r="AK98" s="1014"/>
      <c r="AL98" s="1014"/>
    </row>
    <row r="99" spans="1:38" ht="13.5" thickBot="1" x14ac:dyDescent="0.25">
      <c r="A99" s="200">
        <v>2030</v>
      </c>
      <c r="B99" s="218">
        <v>0</v>
      </c>
      <c r="C99" s="219">
        <v>7.4437673995402789E-4</v>
      </c>
      <c r="D99" s="219">
        <v>7.5721869204379622E-2</v>
      </c>
      <c r="E99" s="219">
        <v>0.17691997856853053</v>
      </c>
      <c r="F99" s="219">
        <v>0.25738502562197074</v>
      </c>
      <c r="G99" s="219">
        <v>0.29833883751722101</v>
      </c>
      <c r="H99" s="219">
        <v>0.32329971931511275</v>
      </c>
      <c r="I99" s="219">
        <v>0.3411834302731418</v>
      </c>
      <c r="J99" s="219">
        <v>0.34340069580094879</v>
      </c>
      <c r="K99" s="219">
        <v>0.36064225809995232</v>
      </c>
      <c r="L99" s="253">
        <v>0.36066664851725294</v>
      </c>
      <c r="M99" s="182">
        <f t="shared" si="79"/>
        <v>0.15169126084942688</v>
      </c>
      <c r="N99" s="184">
        <f t="shared" si="80"/>
        <v>0.10573197206656362</v>
      </c>
      <c r="O99" s="218">
        <v>0</v>
      </c>
      <c r="P99" s="219">
        <v>3.2284415060251648E-3</v>
      </c>
      <c r="Q99" s="219">
        <v>9.6889295933546046E-2</v>
      </c>
      <c r="R99" s="219">
        <v>0.19490577912550083</v>
      </c>
      <c r="S99" s="219">
        <v>0.26261702921925678</v>
      </c>
      <c r="T99" s="219">
        <v>0.30252494317638512</v>
      </c>
      <c r="U99" s="219">
        <v>0.32329971931511275</v>
      </c>
      <c r="V99" s="219">
        <v>0.33547305070430317</v>
      </c>
      <c r="W99" s="219">
        <v>0.35032272587211161</v>
      </c>
      <c r="X99" s="219">
        <v>0.35612047767024863</v>
      </c>
      <c r="Y99" s="253">
        <v>0.35723960901588436</v>
      </c>
      <c r="Z99" s="182">
        <f t="shared" si="81"/>
        <v>9.0084627597936645E-2</v>
      </c>
      <c r="AA99" s="184">
        <f t="shared" si="82"/>
        <v>6.8420955163993213E-2</v>
      </c>
      <c r="AB99" s="795">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796">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069">
        <f t="shared" si="75"/>
        <v>0</v>
      </c>
      <c r="AE99" s="784">
        <f t="shared" si="85"/>
        <v>0.15169126084942688</v>
      </c>
      <c r="AF99" s="784">
        <f t="shared" si="86"/>
        <v>9.0084627597936645E-2</v>
      </c>
      <c r="AG99" s="784">
        <f t="shared" si="87"/>
        <v>0.24177588844736353</v>
      </c>
      <c r="AH99" s="1015">
        <f t="shared" si="83"/>
        <v>0.62740441912366807</v>
      </c>
      <c r="AI99" s="784">
        <f t="shared" si="84"/>
        <v>0.37259558087633193</v>
      </c>
      <c r="AK99" s="1014"/>
      <c r="AL99" s="1014"/>
    </row>
    <row r="100" spans="1:38" x14ac:dyDescent="0.2">
      <c r="A100" s="201">
        <v>2031</v>
      </c>
      <c r="B100" s="214">
        <v>0</v>
      </c>
      <c r="C100" s="215">
        <v>4.0407068609119145E-3</v>
      </c>
      <c r="D100" s="215">
        <v>0.12721026185690201</v>
      </c>
      <c r="E100" s="215">
        <v>0.25709285806146887</v>
      </c>
      <c r="F100" s="215">
        <v>0.33059153258285512</v>
      </c>
      <c r="G100" s="215">
        <v>0.38500103184852597</v>
      </c>
      <c r="H100" s="215">
        <v>0.40017420910040974</v>
      </c>
      <c r="I100" s="215">
        <v>0.41309838887250816</v>
      </c>
      <c r="J100" s="215">
        <v>0.43383929105827307</v>
      </c>
      <c r="K100" s="215">
        <v>0.42363685530623174</v>
      </c>
      <c r="L100" s="251">
        <v>0.43765705657455151</v>
      </c>
      <c r="M100" s="154">
        <f t="shared" si="79"/>
        <v>0.1947245645348665</v>
      </c>
      <c r="N100" s="156">
        <f t="shared" si="80"/>
        <v>0.13939956906558723</v>
      </c>
      <c r="O100" s="214">
        <v>0</v>
      </c>
      <c r="P100" s="215">
        <v>1.2434040606390126E-2</v>
      </c>
      <c r="Q100" s="215">
        <v>0.15784206100546597</v>
      </c>
      <c r="R100" s="215">
        <v>0.27931125118807826</v>
      </c>
      <c r="S100" s="215">
        <v>0.34495384406422214</v>
      </c>
      <c r="T100" s="215">
        <v>0.38891739978229839</v>
      </c>
      <c r="U100" s="215">
        <v>0.41043091201794152</v>
      </c>
      <c r="V100" s="215">
        <v>0.41309838887250816</v>
      </c>
      <c r="W100" s="215">
        <v>0.42839987979962474</v>
      </c>
      <c r="X100" s="215">
        <v>0.43386878986043359</v>
      </c>
      <c r="Y100" s="251">
        <v>0.43424397577829288</v>
      </c>
      <c r="Z100" s="154">
        <f t="shared" si="81"/>
        <v>0.11858975761830089</v>
      </c>
      <c r="AA100" s="156">
        <f t="shared" si="82"/>
        <v>9.2521455700370264E-2</v>
      </c>
      <c r="AB100" s="795">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796">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069">
        <f t="shared" si="75"/>
        <v>0</v>
      </c>
      <c r="AE100" s="784">
        <f t="shared" si="85"/>
        <v>0.1947245645348665</v>
      </c>
      <c r="AF100" s="784">
        <f t="shared" si="86"/>
        <v>0.11858975761830089</v>
      </c>
      <c r="AG100" s="784">
        <f t="shared" si="87"/>
        <v>0.3133143221531674</v>
      </c>
      <c r="AH100" s="1015">
        <f t="shared" si="83"/>
        <v>0.6214990849976948</v>
      </c>
      <c r="AI100" s="784">
        <f t="shared" si="84"/>
        <v>0.3785009150023052</v>
      </c>
      <c r="AK100" s="1014"/>
      <c r="AL100" s="1014"/>
    </row>
    <row r="101" spans="1:38" x14ac:dyDescent="0.2">
      <c r="A101" s="202">
        <v>2032</v>
      </c>
      <c r="B101" s="216">
        <v>0</v>
      </c>
      <c r="C101" s="217">
        <v>8.9440902007232037E-3</v>
      </c>
      <c r="D101" s="217">
        <v>0.15736670566137159</v>
      </c>
      <c r="E101" s="217">
        <v>0.31079671350320154</v>
      </c>
      <c r="F101" s="217">
        <v>0.37263078572271791</v>
      </c>
      <c r="G101" s="217">
        <v>0.42877100743607272</v>
      </c>
      <c r="H101" s="217">
        <v>0.44336140941857521</v>
      </c>
      <c r="I101" s="217">
        <v>0.46169613956369676</v>
      </c>
      <c r="J101" s="217">
        <v>0.46277214426731172</v>
      </c>
      <c r="K101" s="217">
        <v>0.46867985308704424</v>
      </c>
      <c r="L101" s="252">
        <v>0.46903336785719618</v>
      </c>
      <c r="M101" s="168">
        <f t="shared" si="79"/>
        <v>0.21918411956370662</v>
      </c>
      <c r="N101" s="170">
        <f t="shared" si="80"/>
        <v>0.15924779062357844</v>
      </c>
      <c r="O101" s="216">
        <v>0</v>
      </c>
      <c r="P101" s="217">
        <v>2.2672825437490836E-2</v>
      </c>
      <c r="Q101" s="217">
        <v>0.19228706903456624</v>
      </c>
      <c r="R101" s="217">
        <v>0.31811330089865203</v>
      </c>
      <c r="S101" s="217">
        <v>0.38768519848375549</v>
      </c>
      <c r="T101" s="217">
        <v>0.43228176357648002</v>
      </c>
      <c r="U101" s="217">
        <v>0.45321576099249572</v>
      </c>
      <c r="V101" s="217">
        <v>0.45523803138549268</v>
      </c>
      <c r="W101" s="217">
        <v>0.46867985308704424</v>
      </c>
      <c r="X101" s="217">
        <v>0.47277207412960248</v>
      </c>
      <c r="Y101" s="252">
        <v>0.47464976041123158</v>
      </c>
      <c r="Z101" s="168">
        <f t="shared" si="81"/>
        <v>0.13315602133829321</v>
      </c>
      <c r="AA101" s="170">
        <f t="shared" si="82"/>
        <v>0.10511201988841305</v>
      </c>
      <c r="AB101" s="795">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796">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069">
        <f t="shared" si="75"/>
        <v>0</v>
      </c>
      <c r="AE101" s="784">
        <f t="shared" si="85"/>
        <v>0.21918411956370662</v>
      </c>
      <c r="AF101" s="784">
        <f t="shared" si="86"/>
        <v>0.13315602133829321</v>
      </c>
      <c r="AG101" s="784">
        <f t="shared" si="87"/>
        <v>0.35234014090199983</v>
      </c>
      <c r="AH101" s="1015">
        <f t="shared" si="83"/>
        <v>0.6220810351116669</v>
      </c>
      <c r="AI101" s="784">
        <f t="shared" si="84"/>
        <v>0.3779189648883331</v>
      </c>
      <c r="AK101" s="1014"/>
      <c r="AL101" s="1014"/>
    </row>
    <row r="102" spans="1:38" x14ac:dyDescent="0.2">
      <c r="A102" s="202">
        <v>2033</v>
      </c>
      <c r="B102" s="216">
        <v>0</v>
      </c>
      <c r="C102" s="217">
        <v>1.3998757794403302E-2</v>
      </c>
      <c r="D102" s="217">
        <v>0.18983565752982096</v>
      </c>
      <c r="E102" s="217">
        <v>0.32771331817764043</v>
      </c>
      <c r="F102" s="217">
        <v>0.39938460750738403</v>
      </c>
      <c r="G102" s="217">
        <v>0.43279993229664515</v>
      </c>
      <c r="H102" s="217">
        <v>0.46689257371409826</v>
      </c>
      <c r="I102" s="217">
        <v>0.46897581427007001</v>
      </c>
      <c r="J102" s="217">
        <v>0.48820654529431695</v>
      </c>
      <c r="K102" s="217">
        <v>0.47823557542020828</v>
      </c>
      <c r="L102" s="252">
        <v>0.48873862986725597</v>
      </c>
      <c r="M102" s="168">
        <f t="shared" si="79"/>
        <v>0.23058798561653446</v>
      </c>
      <c r="N102" s="170">
        <f t="shared" si="80"/>
        <v>0.16951153751792017</v>
      </c>
      <c r="O102" s="216">
        <v>0</v>
      </c>
      <c r="P102" s="217">
        <v>2.9630122458309576E-2</v>
      </c>
      <c r="Q102" s="217">
        <v>0.23596319452597975</v>
      </c>
      <c r="R102" s="217">
        <v>0.34455960157241894</v>
      </c>
      <c r="S102" s="217">
        <v>0.41428586837748699</v>
      </c>
      <c r="T102" s="217">
        <v>0.44532687073038479</v>
      </c>
      <c r="U102" s="217">
        <v>0.46689257371409826</v>
      </c>
      <c r="V102" s="217">
        <v>0.46897581427007001</v>
      </c>
      <c r="W102" s="217">
        <v>0.48282325135980947</v>
      </c>
      <c r="X102" s="217">
        <v>0.48699775801013895</v>
      </c>
      <c r="Y102" s="252">
        <v>0.48536853350618653</v>
      </c>
      <c r="Z102" s="168">
        <f t="shared" si="81"/>
        <v>0.14132034240317881</v>
      </c>
      <c r="AA102" s="170">
        <f t="shared" si="82"/>
        <v>0.11337532260617</v>
      </c>
      <c r="AB102" s="795">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796">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069">
        <f>AB102*AH102+AC102*AI102</f>
        <v>0</v>
      </c>
      <c r="AE102" s="784">
        <f t="shared" si="85"/>
        <v>0.23058798561653446</v>
      </c>
      <c r="AF102" s="784">
        <f t="shared" si="86"/>
        <v>0.14132034240317881</v>
      </c>
      <c r="AG102" s="784">
        <f t="shared" si="87"/>
        <v>0.3719083280197133</v>
      </c>
      <c r="AH102" s="1015">
        <f t="shared" si="83"/>
        <v>0.62001296621761037</v>
      </c>
      <c r="AI102" s="784">
        <f t="shared" si="84"/>
        <v>0.37998703378238957</v>
      </c>
      <c r="AK102" s="1014"/>
      <c r="AL102" s="1014"/>
    </row>
    <row r="103" spans="1:38" x14ac:dyDescent="0.2">
      <c r="A103" s="202">
        <v>2034</v>
      </c>
      <c r="B103" s="216">
        <v>0</v>
      </c>
      <c r="C103" s="217">
        <v>1.6059180933145119E-2</v>
      </c>
      <c r="D103" s="217">
        <v>0.20691702032469436</v>
      </c>
      <c r="E103" s="217">
        <v>0.33135867778936551</v>
      </c>
      <c r="F103" s="217">
        <v>0.4038269731378582</v>
      </c>
      <c r="G103" s="217">
        <v>0.4376138096003227</v>
      </c>
      <c r="H103" s="217">
        <v>0.47208558777114151</v>
      </c>
      <c r="I103" s="217">
        <v>0.47419190807598549</v>
      </c>
      <c r="J103" s="217">
        <v>0.48819332773630492</v>
      </c>
      <c r="K103" s="217">
        <v>0.49245589928593286</v>
      </c>
      <c r="L103" s="252">
        <v>0.49367115801673961</v>
      </c>
      <c r="M103" s="168">
        <f t="shared" si="79"/>
        <v>0.23406486316671127</v>
      </c>
      <c r="N103" s="170">
        <f t="shared" si="80"/>
        <v>0.17291498066047828</v>
      </c>
      <c r="O103" s="216">
        <v>0</v>
      </c>
      <c r="P103" s="217">
        <v>3.3249272683194678E-2</v>
      </c>
      <c r="Q103" s="217">
        <v>0.23113871207601963</v>
      </c>
      <c r="R103" s="217">
        <v>0.36527246054870305</v>
      </c>
      <c r="S103" s="217">
        <v>0.40949334055293979</v>
      </c>
      <c r="T103" s="217">
        <v>0.46182098057926696</v>
      </c>
      <c r="U103" s="217">
        <v>0.46482233139772888</v>
      </c>
      <c r="V103" s="217">
        <v>0.48816023632111255</v>
      </c>
      <c r="W103" s="217">
        <v>0.48819332773630492</v>
      </c>
      <c r="X103" s="217">
        <v>0.49230220475101277</v>
      </c>
      <c r="Y103" s="252">
        <v>0.49002628167113993</v>
      </c>
      <c r="Z103" s="168">
        <f t="shared" si="81"/>
        <v>0.1433389434955834</v>
      </c>
      <c r="AA103" s="170">
        <f t="shared" si="82"/>
        <v>0.11512553635426524</v>
      </c>
      <c r="AB103" s="795">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796">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069">
        <f t="shared" ref="AD103:AD119" si="88">AB103*AH103+AC103*AI103</f>
        <v>0</v>
      </c>
      <c r="AE103" s="784">
        <f t="shared" si="85"/>
        <v>0.23406486316671127</v>
      </c>
      <c r="AF103" s="784">
        <f t="shared" si="86"/>
        <v>0.1433389434955834</v>
      </c>
      <c r="AG103" s="784">
        <f t="shared" si="87"/>
        <v>0.37740380666229467</v>
      </c>
      <c r="AH103" s="1015">
        <f t="shared" si="83"/>
        <v>0.62019740933921008</v>
      </c>
      <c r="AI103" s="784">
        <f t="shared" si="84"/>
        <v>0.37980259066078992</v>
      </c>
      <c r="AK103" s="1014"/>
      <c r="AL103" s="1014"/>
    </row>
    <row r="104" spans="1:38" ht="13.5" thickBot="1" x14ac:dyDescent="0.25">
      <c r="A104" s="200">
        <v>2035</v>
      </c>
      <c r="B104" s="218">
        <v>0</v>
      </c>
      <c r="C104" s="219">
        <v>1.8207194563051442E-2</v>
      </c>
      <c r="D104" s="219">
        <v>0.20107454295292315</v>
      </c>
      <c r="E104" s="219">
        <v>0.34974974918851603</v>
      </c>
      <c r="F104" s="219">
        <v>0.42052580256943617</v>
      </c>
      <c r="G104" s="219">
        <v>0.45203399089348134</v>
      </c>
      <c r="H104" s="219">
        <v>0.466632779920371</v>
      </c>
      <c r="I104" s="219">
        <v>0.4900616183983808</v>
      </c>
      <c r="J104" s="219">
        <v>0.49009475197476049</v>
      </c>
      <c r="K104" s="219">
        <v>0.49430751798810924</v>
      </c>
      <c r="L104" s="253">
        <v>0.49161309663751451</v>
      </c>
      <c r="M104" s="182">
        <f t="shared" si="79"/>
        <v>0.23900300212932107</v>
      </c>
      <c r="N104" s="184">
        <f t="shared" si="80"/>
        <v>0.17704702644147827</v>
      </c>
      <c r="O104" s="218">
        <v>0</v>
      </c>
      <c r="P104" s="219">
        <v>3.768340096145327E-2</v>
      </c>
      <c r="Q104" s="219">
        <v>0.24829591610568916</v>
      </c>
      <c r="R104" s="219">
        <v>0.35685928445712267</v>
      </c>
      <c r="S104" s="219">
        <v>0.43489479926278229</v>
      </c>
      <c r="T104" s="219">
        <v>0.4636198422891003</v>
      </c>
      <c r="U104" s="219">
        <v>0.466632779920371</v>
      </c>
      <c r="V104" s="219">
        <v>0.48391715343719655</v>
      </c>
      <c r="W104" s="219">
        <v>0.48537228669383375</v>
      </c>
      <c r="X104" s="219">
        <v>0.49008764989491965</v>
      </c>
      <c r="Y104" s="253">
        <v>0.49025350262880368</v>
      </c>
      <c r="Z104" s="182">
        <f t="shared" si="81"/>
        <v>0.14602528109750501</v>
      </c>
      <c r="AA104" s="184">
        <f t="shared" si="82"/>
        <v>0.11795974126491318</v>
      </c>
      <c r="AB104" s="795">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796">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069">
        <f t="shared" si="88"/>
        <v>0</v>
      </c>
      <c r="AE104" s="784">
        <f t="shared" si="85"/>
        <v>0.23900300212932107</v>
      </c>
      <c r="AF104" s="784">
        <f t="shared" si="86"/>
        <v>0.14602528109750501</v>
      </c>
      <c r="AG104" s="784">
        <f t="shared" si="87"/>
        <v>0.38502828322682608</v>
      </c>
      <c r="AH104" s="1015">
        <f t="shared" si="83"/>
        <v>0.6207414170364226</v>
      </c>
      <c r="AI104" s="784">
        <f t="shared" si="84"/>
        <v>0.37925858296357745</v>
      </c>
      <c r="AK104" s="1014"/>
      <c r="AL104" s="1014"/>
    </row>
    <row r="105" spans="1:38" x14ac:dyDescent="0.2">
      <c r="A105" s="201">
        <v>2036</v>
      </c>
      <c r="B105" s="214">
        <v>0</v>
      </c>
      <c r="C105" s="215">
        <v>2.3336814552020711E-2</v>
      </c>
      <c r="D105" s="215">
        <v>0.21644451868379994</v>
      </c>
      <c r="E105" s="215">
        <v>0.34030745367587562</v>
      </c>
      <c r="F105" s="215">
        <v>0.41139101099964026</v>
      </c>
      <c r="G105" s="215">
        <v>0.45236632272847477</v>
      </c>
      <c r="H105" s="215">
        <v>0.46697512230408811</v>
      </c>
      <c r="I105" s="215">
        <v>0.48427198252349063</v>
      </c>
      <c r="J105" s="215">
        <v>0.4904059187517828</v>
      </c>
      <c r="K105" s="215">
        <v>0.49434872316032785</v>
      </c>
      <c r="L105" s="251">
        <v>0.48949591599303366</v>
      </c>
      <c r="M105" s="154">
        <f t="shared" si="79"/>
        <v>0.23776459460737959</v>
      </c>
      <c r="N105" s="156">
        <f t="shared" si="80"/>
        <v>0.17686794980553905</v>
      </c>
      <c r="O105" s="214">
        <v>0</v>
      </c>
      <c r="P105" s="215">
        <v>4.6659831018333056E-2</v>
      </c>
      <c r="Q105" s="215">
        <v>0.24058857163719918</v>
      </c>
      <c r="R105" s="215">
        <v>0.38365046478355708</v>
      </c>
      <c r="S105" s="215">
        <v>0.42593466920887835</v>
      </c>
      <c r="T105" s="215">
        <v>0.45619476404878878</v>
      </c>
      <c r="U105" s="215">
        <v>0.47638798334714078</v>
      </c>
      <c r="V105" s="215">
        <v>0.48427198252349063</v>
      </c>
      <c r="W105" s="215">
        <v>0.49434872316032785</v>
      </c>
      <c r="X105" s="215">
        <v>0.48937012938598295</v>
      </c>
      <c r="Y105" s="251">
        <v>0.48677883824283269</v>
      </c>
      <c r="Z105" s="154">
        <f t="shared" si="81"/>
        <v>0.14703926633604597</v>
      </c>
      <c r="AA105" s="156">
        <f t="shared" si="82"/>
        <v>0.11930382440704798</v>
      </c>
      <c r="AB105" s="795">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796">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069">
        <f t="shared" si="88"/>
        <v>0</v>
      </c>
      <c r="AE105" s="784">
        <f t="shared" si="85"/>
        <v>0.23776459460737959</v>
      </c>
      <c r="AF105" s="784">
        <f t="shared" si="86"/>
        <v>0.14703926633604597</v>
      </c>
      <c r="AG105" s="784">
        <f t="shared" si="87"/>
        <v>0.38480386094342556</v>
      </c>
      <c r="AH105" s="1015">
        <f t="shared" si="83"/>
        <v>0.61788515849204562</v>
      </c>
      <c r="AI105" s="784">
        <f t="shared" si="84"/>
        <v>0.38211484150795438</v>
      </c>
      <c r="AK105" s="1014"/>
      <c r="AL105" s="1014"/>
    </row>
    <row r="106" spans="1:38" x14ac:dyDescent="0.2">
      <c r="A106" s="202">
        <v>2037</v>
      </c>
      <c r="B106" s="216">
        <v>0</v>
      </c>
      <c r="C106" s="217">
        <v>2.6031851141789606E-2</v>
      </c>
      <c r="D106" s="217">
        <v>0.20936225125312366</v>
      </c>
      <c r="E106" s="217">
        <v>0.3669917326839125</v>
      </c>
      <c r="F106" s="217">
        <v>0.41141723767847782</v>
      </c>
      <c r="G106" s="217">
        <v>0.4442295787053776</v>
      </c>
      <c r="H106" s="217">
        <v>0.46700419334120952</v>
      </c>
      <c r="I106" s="217">
        <v>0.48430200635526044</v>
      </c>
      <c r="J106" s="217">
        <v>0.48568060914504957</v>
      </c>
      <c r="K106" s="217">
        <v>0.49375617044185871</v>
      </c>
      <c r="L106" s="252">
        <v>0.48664380057785728</v>
      </c>
      <c r="M106" s="168">
        <f t="shared" si="79"/>
        <v>0.23889660978336061</v>
      </c>
      <c r="N106" s="170">
        <f t="shared" si="80"/>
        <v>0.1784436366874336</v>
      </c>
      <c r="O106" s="216">
        <v>0</v>
      </c>
      <c r="P106" s="217">
        <v>4.5497538881998083E-2</v>
      </c>
      <c r="Q106" s="217">
        <v>0.25692749393778391</v>
      </c>
      <c r="R106" s="217">
        <v>0.37373455180010956</v>
      </c>
      <c r="S106" s="217">
        <v>0.4259617523038714</v>
      </c>
      <c r="T106" s="217">
        <v>0.45622321972359231</v>
      </c>
      <c r="U106" s="217">
        <v>0.47641758042137206</v>
      </c>
      <c r="V106" s="217">
        <v>0.48430200635526044</v>
      </c>
      <c r="W106" s="217">
        <v>0.49389744678627728</v>
      </c>
      <c r="X106" s="217">
        <v>0.48822131458204299</v>
      </c>
      <c r="Y106" s="252">
        <v>0.48373934759927534</v>
      </c>
      <c r="Z106" s="168">
        <f t="shared" si="81"/>
        <v>0.14700160524993805</v>
      </c>
      <c r="AA106" s="170">
        <f t="shared" si="82"/>
        <v>0.11954179476647547</v>
      </c>
      <c r="AB106" s="795">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796">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069">
        <f t="shared" si="88"/>
        <v>0</v>
      </c>
      <c r="AE106" s="784">
        <f t="shared" si="85"/>
        <v>0.23889660978336061</v>
      </c>
      <c r="AF106" s="784">
        <f t="shared" si="86"/>
        <v>0.14700160524993805</v>
      </c>
      <c r="AG106" s="784">
        <f t="shared" si="87"/>
        <v>0.38589821503329869</v>
      </c>
      <c r="AH106" s="1015">
        <f t="shared" si="83"/>
        <v>0.61906637677177778</v>
      </c>
      <c r="AI106" s="784">
        <f t="shared" si="84"/>
        <v>0.38093362322822216</v>
      </c>
      <c r="AK106" s="1014"/>
      <c r="AL106" s="1014"/>
    </row>
    <row r="107" spans="1:38" x14ac:dyDescent="0.2">
      <c r="A107" s="202">
        <v>2038</v>
      </c>
      <c r="B107" s="216">
        <v>0</v>
      </c>
      <c r="C107" s="217">
        <v>2.8867083799007126E-2</v>
      </c>
      <c r="D107" s="217">
        <v>0.22460115118938362</v>
      </c>
      <c r="E107" s="217">
        <v>0.35693583393139805</v>
      </c>
      <c r="F107" s="217">
        <v>0.4257093172069823</v>
      </c>
      <c r="G107" s="217">
        <v>0.44396553365232583</v>
      </c>
      <c r="H107" s="217">
        <v>0.47613411986898146</v>
      </c>
      <c r="I107" s="217">
        <v>0.48397121571949459</v>
      </c>
      <c r="J107" s="217">
        <v>0.48487985603033595</v>
      </c>
      <c r="K107" s="217">
        <v>0.4881858433124881</v>
      </c>
      <c r="L107" s="252">
        <v>0.48190245011694882</v>
      </c>
      <c r="M107" s="168">
        <f t="shared" si="79"/>
        <v>0.24137575261865368</v>
      </c>
      <c r="N107" s="170">
        <f t="shared" si="80"/>
        <v>0.18108316674439465</v>
      </c>
      <c r="O107" s="216">
        <v>0</v>
      </c>
      <c r="P107" s="217">
        <v>4.8040770056028033E-2</v>
      </c>
      <c r="Q107" s="217">
        <v>0.24856623664723773</v>
      </c>
      <c r="R107" s="217">
        <v>0.36393989010258809</v>
      </c>
      <c r="S107" s="217">
        <v>0.41695525743998085</v>
      </c>
      <c r="T107" s="217">
        <v>0.47402077423210437</v>
      </c>
      <c r="U107" s="217">
        <v>0.47613411986898146</v>
      </c>
      <c r="V107" s="217">
        <v>0.47850698024706756</v>
      </c>
      <c r="W107" s="217">
        <v>0.4881858433124881</v>
      </c>
      <c r="X107" s="217">
        <v>0.49057569623591007</v>
      </c>
      <c r="Y107" s="252">
        <v>0.48007291869226748</v>
      </c>
      <c r="Z107" s="168">
        <f t="shared" si="81"/>
        <v>0.14596453754537142</v>
      </c>
      <c r="AA107" s="170">
        <f t="shared" si="82"/>
        <v>0.11833430632263207</v>
      </c>
      <c r="AB107" s="795">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796">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069">
        <f t="shared" si="88"/>
        <v>0</v>
      </c>
      <c r="AE107" s="784">
        <f t="shared" si="85"/>
        <v>0.24137575261865368</v>
      </c>
      <c r="AF107" s="784">
        <f t="shared" si="86"/>
        <v>0.14596453754537142</v>
      </c>
      <c r="AG107" s="784">
        <f t="shared" si="87"/>
        <v>0.3873402901640251</v>
      </c>
      <c r="AH107" s="1015">
        <f t="shared" si="83"/>
        <v>0.62316200702085356</v>
      </c>
      <c r="AI107" s="784">
        <f t="shared" si="84"/>
        <v>0.37683799297914639</v>
      </c>
      <c r="AK107" s="1014"/>
      <c r="AL107" s="1014"/>
    </row>
    <row r="108" spans="1:38" x14ac:dyDescent="0.2">
      <c r="A108" s="202">
        <v>2039</v>
      </c>
      <c r="B108" s="216">
        <v>0</v>
      </c>
      <c r="C108" s="217">
        <v>3.0951915644349844E-2</v>
      </c>
      <c r="D108" s="217">
        <v>0.23235685348510507</v>
      </c>
      <c r="E108" s="217">
        <v>0.34702741500536244</v>
      </c>
      <c r="F108" s="217">
        <v>0.42522048642505411</v>
      </c>
      <c r="G108" s="217">
        <v>0.45542697890994882</v>
      </c>
      <c r="H108" s="217">
        <v>0.47558559892905855</v>
      </c>
      <c r="I108" s="217">
        <v>0.47765104565381666</v>
      </c>
      <c r="J108" s="217">
        <v>0.48241002698082769</v>
      </c>
      <c r="K108" s="217">
        <v>0.48298178964178257</v>
      </c>
      <c r="L108" s="252">
        <v>0.46909870783756646</v>
      </c>
      <c r="M108" s="168">
        <f t="shared" si="79"/>
        <v>0.2407454966234801</v>
      </c>
      <c r="N108" s="170">
        <f t="shared" si="80"/>
        <v>0.18110471905242825</v>
      </c>
      <c r="O108" s="216">
        <v>0</v>
      </c>
      <c r="P108" s="217">
        <v>5.9840322560455454E-2</v>
      </c>
      <c r="Q108" s="217">
        <v>0.26460806175255192</v>
      </c>
      <c r="R108" s="217">
        <v>0.37971826804002323</v>
      </c>
      <c r="S108" s="217">
        <v>0.43890397292563132</v>
      </c>
      <c r="T108" s="217">
        <v>0.46618889721586193</v>
      </c>
      <c r="U108" s="217">
        <v>0.46948367680866065</v>
      </c>
      <c r="V108" s="217">
        <v>0.48880898936304673</v>
      </c>
      <c r="W108" s="217">
        <v>0.48295364823588693</v>
      </c>
      <c r="X108" s="217">
        <v>0.48059640583890589</v>
      </c>
      <c r="Y108" s="252">
        <v>0.46607271632185771</v>
      </c>
      <c r="Z108" s="168">
        <f t="shared" si="81"/>
        <v>0.14905824937590112</v>
      </c>
      <c r="AA108" s="170">
        <f t="shared" si="82"/>
        <v>0.1224102055265866</v>
      </c>
      <c r="AB108" s="795">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796">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069">
        <f t="shared" si="88"/>
        <v>0</v>
      </c>
      <c r="AE108" s="784">
        <f t="shared" si="85"/>
        <v>0.2407454966234801</v>
      </c>
      <c r="AF108" s="784">
        <f t="shared" si="86"/>
        <v>0.14905824937590112</v>
      </c>
      <c r="AG108" s="784">
        <f t="shared" si="87"/>
        <v>0.38980374599938122</v>
      </c>
      <c r="AH108" s="1015">
        <f t="shared" si="83"/>
        <v>0.61760693450047621</v>
      </c>
      <c r="AI108" s="784">
        <f t="shared" si="84"/>
        <v>0.38239306549952379</v>
      </c>
      <c r="AK108" s="1014"/>
      <c r="AL108" s="1014"/>
    </row>
    <row r="109" spans="1:38" ht="13.5" thickBot="1" x14ac:dyDescent="0.25">
      <c r="A109" s="200">
        <v>2040</v>
      </c>
      <c r="B109" s="218">
        <v>0</v>
      </c>
      <c r="C109" s="219">
        <v>3.268170372234417E-2</v>
      </c>
      <c r="D109" s="219">
        <v>0.2242131802119201</v>
      </c>
      <c r="E109" s="219">
        <v>0.36288459533025752</v>
      </c>
      <c r="F109" s="219">
        <v>0.41574212138232752</v>
      </c>
      <c r="G109" s="219">
        <v>0.45462431659571728</v>
      </c>
      <c r="H109" s="219">
        <v>0.46840003276989023</v>
      </c>
      <c r="I109" s="219">
        <v>0.48556165974279514</v>
      </c>
      <c r="J109" s="219">
        <v>0.47962709166694151</v>
      </c>
      <c r="K109" s="219">
        <v>0.47105553405195949</v>
      </c>
      <c r="L109" s="253">
        <v>0.45238728500523984</v>
      </c>
      <c r="M109" s="182">
        <f t="shared" si="79"/>
        <v>0.23945067475787654</v>
      </c>
      <c r="N109" s="184">
        <f t="shared" si="80"/>
        <v>0.18048593009154329</v>
      </c>
      <c r="O109" s="218">
        <v>0</v>
      </c>
      <c r="P109" s="219">
        <v>6.4281760399090962E-2</v>
      </c>
      <c r="Q109" s="219">
        <v>0.27204564362765543</v>
      </c>
      <c r="R109" s="219">
        <v>0.36991213491131797</v>
      </c>
      <c r="S109" s="219">
        <v>0.4296635928849189</v>
      </c>
      <c r="T109" s="219">
        <v>0.45869417130608781</v>
      </c>
      <c r="U109" s="219">
        <v>0.46767817944749646</v>
      </c>
      <c r="V109" s="219">
        <v>0.48364394452780174</v>
      </c>
      <c r="W109" s="219">
        <v>0.46999055618937197</v>
      </c>
      <c r="X109" s="219">
        <v>0.46017358004049086</v>
      </c>
      <c r="Y109" s="253">
        <v>0.43711869392299102</v>
      </c>
      <c r="Z109" s="182">
        <f t="shared" si="81"/>
        <v>0.14673007902987714</v>
      </c>
      <c r="AA109" s="184">
        <f t="shared" si="82"/>
        <v>0.12112987664246624</v>
      </c>
      <c r="AB109" s="795">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796">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069">
        <f t="shared" si="88"/>
        <v>0</v>
      </c>
      <c r="AE109" s="784">
        <f t="shared" si="85"/>
        <v>0.23945067475787654</v>
      </c>
      <c r="AF109" s="784">
        <f t="shared" si="86"/>
        <v>0.14673007902987714</v>
      </c>
      <c r="AG109" s="784">
        <f t="shared" si="87"/>
        <v>0.38618075378775368</v>
      </c>
      <c r="AH109" s="1015">
        <f t="shared" si="83"/>
        <v>0.62004818316108912</v>
      </c>
      <c r="AI109" s="784">
        <f t="shared" si="84"/>
        <v>0.37995181683891094</v>
      </c>
      <c r="AK109" s="1014"/>
      <c r="AL109" s="1014"/>
    </row>
    <row r="110" spans="1:38" x14ac:dyDescent="0.2">
      <c r="A110" s="201">
        <v>2041</v>
      </c>
      <c r="B110" s="214">
        <v>0</v>
      </c>
      <c r="C110" s="215">
        <v>3.397816614225109E-2</v>
      </c>
      <c r="D110" s="215">
        <v>0.23126336319717763</v>
      </c>
      <c r="E110" s="215">
        <v>0.35286676510872195</v>
      </c>
      <c r="F110" s="215">
        <v>0.42861911100638211</v>
      </c>
      <c r="G110" s="215">
        <v>0.44607734672954669</v>
      </c>
      <c r="H110" s="215">
        <v>0.46271283892948945</v>
      </c>
      <c r="I110" s="215">
        <v>0.46613390508036112</v>
      </c>
      <c r="J110" s="215">
        <v>0.45339958567837008</v>
      </c>
      <c r="K110" s="215">
        <v>0.44115720593287888</v>
      </c>
      <c r="L110" s="251">
        <v>0.40582858945930911</v>
      </c>
      <c r="M110" s="154">
        <f t="shared" si="79"/>
        <v>0.23552477465067795</v>
      </c>
      <c r="N110" s="156">
        <f t="shared" si="80"/>
        <v>0.17926483373308694</v>
      </c>
      <c r="O110" s="214">
        <v>0</v>
      </c>
      <c r="P110" s="215">
        <v>6.6080083974109069E-2</v>
      </c>
      <c r="Q110" s="215">
        <v>0.26287272864487188</v>
      </c>
      <c r="R110" s="215">
        <v>0.38479328239031402</v>
      </c>
      <c r="S110" s="215">
        <v>0.42071655516237039</v>
      </c>
      <c r="T110" s="215">
        <v>0.45413906916663788</v>
      </c>
      <c r="U110" s="215">
        <v>0.46442885833937531</v>
      </c>
      <c r="V110" s="215">
        <v>0.45554637474407805</v>
      </c>
      <c r="W110" s="215">
        <v>0.42436197495723976</v>
      </c>
      <c r="X110" s="215">
        <v>0.4124109073099404</v>
      </c>
      <c r="Y110" s="251">
        <v>0.38559459571401278</v>
      </c>
      <c r="Z110" s="154">
        <f t="shared" si="81"/>
        <v>0.1440195927584989</v>
      </c>
      <c r="AA110" s="156">
        <f t="shared" si="82"/>
        <v>0.11985351890974405</v>
      </c>
      <c r="AB110" s="795">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796">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069">
        <f t="shared" si="88"/>
        <v>0</v>
      </c>
      <c r="AE110" s="784">
        <f t="shared" si="85"/>
        <v>0.23552477465067795</v>
      </c>
      <c r="AF110" s="784">
        <f t="shared" si="86"/>
        <v>0.1440195927584989</v>
      </c>
      <c r="AG110" s="784">
        <f t="shared" si="87"/>
        <v>0.37954436740917685</v>
      </c>
      <c r="AH110" s="1015">
        <f t="shared" si="83"/>
        <v>0.62054609388199633</v>
      </c>
      <c r="AI110" s="784">
        <f t="shared" si="84"/>
        <v>0.37945390611800373</v>
      </c>
      <c r="AK110" s="1014"/>
      <c r="AL110" s="1014"/>
    </row>
    <row r="111" spans="1:38" x14ac:dyDescent="0.2">
      <c r="A111" s="202">
        <v>2042</v>
      </c>
      <c r="B111" s="216">
        <v>0</v>
      </c>
      <c r="C111" s="217">
        <v>3.9064622342687629E-2</v>
      </c>
      <c r="D111" s="217">
        <v>0.23812489965728445</v>
      </c>
      <c r="E111" s="217">
        <v>0.36789368145050017</v>
      </c>
      <c r="F111" s="217">
        <v>0.41812814318077757</v>
      </c>
      <c r="G111" s="217">
        <v>0.44504455634316548</v>
      </c>
      <c r="H111" s="217">
        <v>0.43841466654978761</v>
      </c>
      <c r="I111" s="217">
        <v>0.41820113173892376</v>
      </c>
      <c r="J111" s="217">
        <v>0.39657179352835542</v>
      </c>
      <c r="K111" s="217">
        <v>0.37944101599006691</v>
      </c>
      <c r="L111" s="252">
        <v>0.35114213636128017</v>
      </c>
      <c r="M111" s="168">
        <f t="shared" si="79"/>
        <v>0.2261144735726314</v>
      </c>
      <c r="N111" s="170">
        <f t="shared" si="80"/>
        <v>0.175810260208699</v>
      </c>
      <c r="O111" s="216">
        <v>0</v>
      </c>
      <c r="P111" s="217">
        <v>6.416433564745877E-2</v>
      </c>
      <c r="Q111" s="217">
        <v>0.2698081276611265</v>
      </c>
      <c r="R111" s="217">
        <v>0.37483502574228778</v>
      </c>
      <c r="S111" s="217">
        <v>0.4266177617682082</v>
      </c>
      <c r="T111" s="217">
        <v>0.43405415716656215</v>
      </c>
      <c r="U111" s="217">
        <v>0.41660765762136476</v>
      </c>
      <c r="V111" s="217">
        <v>0.39479928240441808</v>
      </c>
      <c r="W111" s="217">
        <v>0.3704206674303519</v>
      </c>
      <c r="X111" s="217">
        <v>0.35755091730939509</v>
      </c>
      <c r="Y111" s="252">
        <v>0.33674077092010496</v>
      </c>
      <c r="Z111" s="168">
        <f t="shared" si="81"/>
        <v>0.13796724931552581</v>
      </c>
      <c r="AA111" s="170">
        <f t="shared" si="82"/>
        <v>0.11655362533767052</v>
      </c>
      <c r="AB111" s="795">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796">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069">
        <f t="shared" si="88"/>
        <v>0</v>
      </c>
      <c r="AE111" s="784">
        <f t="shared" si="85"/>
        <v>0.2261144735726314</v>
      </c>
      <c r="AF111" s="784">
        <f t="shared" si="86"/>
        <v>0.13796724931552581</v>
      </c>
      <c r="AG111" s="784">
        <f t="shared" si="87"/>
        <v>0.36408172288815721</v>
      </c>
      <c r="AH111" s="1015">
        <f t="shared" si="83"/>
        <v>0.62105417371388294</v>
      </c>
      <c r="AI111" s="784">
        <f t="shared" si="84"/>
        <v>0.378945826286117</v>
      </c>
      <c r="AK111" s="1014"/>
      <c r="AL111" s="1014"/>
    </row>
    <row r="112" spans="1:38" x14ac:dyDescent="0.2">
      <c r="A112" s="202">
        <v>2043</v>
      </c>
      <c r="B112" s="216">
        <v>0</v>
      </c>
      <c r="C112" s="217">
        <v>3.9491694402618877E-2</v>
      </c>
      <c r="D112" s="217">
        <v>0.25294678932931797</v>
      </c>
      <c r="E112" s="217">
        <v>0.35596082077151409</v>
      </c>
      <c r="F112" s="217">
        <v>0.38991785351636588</v>
      </c>
      <c r="G112" s="217">
        <v>0.39984262384296387</v>
      </c>
      <c r="H112" s="217">
        <v>0.3774351162671461</v>
      </c>
      <c r="I112" s="217">
        <v>0.35461705826963996</v>
      </c>
      <c r="J112" s="217">
        <v>0.34199587402339798</v>
      </c>
      <c r="K112" s="217">
        <v>0.32842785215581016</v>
      </c>
      <c r="L112" s="252">
        <v>0.31437123280632528</v>
      </c>
      <c r="M112" s="168">
        <f t="shared" si="79"/>
        <v>0.20607950631049793</v>
      </c>
      <c r="N112" s="170">
        <f t="shared" si="80"/>
        <v>0.16396766139767904</v>
      </c>
      <c r="O112" s="216">
        <v>0</v>
      </c>
      <c r="P112" s="217">
        <v>6.7588175584289756E-2</v>
      </c>
      <c r="Q112" s="217">
        <v>0.28502169667954369</v>
      </c>
      <c r="R112" s="217">
        <v>0.3804457040435355</v>
      </c>
      <c r="S112" s="217">
        <v>0.39314604119810487</v>
      </c>
      <c r="T112" s="217">
        <v>0.37793670432478205</v>
      </c>
      <c r="U112" s="217">
        <v>0.35952843274166646</v>
      </c>
      <c r="V112" s="217">
        <v>0.34238144917512908</v>
      </c>
      <c r="W112" s="217">
        <v>0.32911082586856993</v>
      </c>
      <c r="X112" s="217">
        <v>0.31767265775737702</v>
      </c>
      <c r="Y112" s="252">
        <v>0.30506434568509361</v>
      </c>
      <c r="Z112" s="168">
        <f t="shared" si="81"/>
        <v>0.12812830708729961</v>
      </c>
      <c r="AA112" s="170">
        <f t="shared" si="82"/>
        <v>0.11083429343680659</v>
      </c>
      <c r="AB112" s="795">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796">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069">
        <f t="shared" si="88"/>
        <v>0</v>
      </c>
      <c r="AE112" s="784">
        <f t="shared" si="85"/>
        <v>0.20607950631049793</v>
      </c>
      <c r="AF112" s="784">
        <f t="shared" si="86"/>
        <v>0.12812830708729961</v>
      </c>
      <c r="AG112" s="784">
        <f t="shared" si="87"/>
        <v>0.33420781339779754</v>
      </c>
      <c r="AH112" s="1015">
        <f t="shared" si="83"/>
        <v>0.61662085100687836</v>
      </c>
      <c r="AI112" s="784">
        <f t="shared" si="84"/>
        <v>0.38337914899312164</v>
      </c>
      <c r="AK112" s="1014"/>
      <c r="AL112" s="1014"/>
    </row>
    <row r="113" spans="1:39" x14ac:dyDescent="0.2">
      <c r="A113" s="202">
        <v>2044</v>
      </c>
      <c r="B113" s="216">
        <v>0</v>
      </c>
      <c r="C113" s="217">
        <v>4.1781811454272545E-2</v>
      </c>
      <c r="D113" s="217">
        <v>0.24319398090862204</v>
      </c>
      <c r="E113" s="217">
        <v>0.34702391842818664</v>
      </c>
      <c r="F113" s="217">
        <v>0.35887171693234055</v>
      </c>
      <c r="G113" s="217">
        <v>0.34031650882241887</v>
      </c>
      <c r="H113" s="217">
        <v>0.32467623522732003</v>
      </c>
      <c r="I113" s="217">
        <v>0.31123607876955461</v>
      </c>
      <c r="J113" s="217">
        <v>0.30312760099901326</v>
      </c>
      <c r="K113" s="217">
        <v>0.29705538631302453</v>
      </c>
      <c r="L113" s="252">
        <v>0.28817069149896429</v>
      </c>
      <c r="M113" s="168">
        <f t="shared" si="79"/>
        <v>0.18677085233694524</v>
      </c>
      <c r="N113" s="170">
        <f t="shared" si="80"/>
        <v>0.15090503963567947</v>
      </c>
      <c r="O113" s="216">
        <v>0</v>
      </c>
      <c r="P113" s="217">
        <v>7.1021668175497502E-2</v>
      </c>
      <c r="Q113" s="217">
        <v>0.27065695898584702</v>
      </c>
      <c r="R113" s="217">
        <v>0.33837540939170124</v>
      </c>
      <c r="S113" s="217">
        <v>0.33214648732286373</v>
      </c>
      <c r="T113" s="217">
        <v>0.32542894841223879</v>
      </c>
      <c r="U113" s="217">
        <v>0.31290151413800604</v>
      </c>
      <c r="V113" s="217">
        <v>0.3056771853649119</v>
      </c>
      <c r="W113" s="217">
        <v>0.29479124348719921</v>
      </c>
      <c r="X113" s="217">
        <v>0.29065475380977029</v>
      </c>
      <c r="Y113" s="252">
        <v>0.28469420078894353</v>
      </c>
      <c r="Z113" s="168">
        <f t="shared" si="81"/>
        <v>0.1127693370678348</v>
      </c>
      <c r="AA113" s="170">
        <f t="shared" si="82"/>
        <v>9.8528723792296921E-2</v>
      </c>
      <c r="AB113" s="795">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796">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069">
        <f t="shared" si="88"/>
        <v>0</v>
      </c>
      <c r="AE113" s="784">
        <f t="shared" si="85"/>
        <v>0.18677085233694524</v>
      </c>
      <c r="AF113" s="784">
        <f t="shared" si="86"/>
        <v>0.1127693370678348</v>
      </c>
      <c r="AG113" s="784">
        <f t="shared" si="87"/>
        <v>0.29954018940478006</v>
      </c>
      <c r="AH113" s="1015">
        <f t="shared" si="83"/>
        <v>0.62352518607963714</v>
      </c>
      <c r="AI113" s="784">
        <f t="shared" si="84"/>
        <v>0.37647481392036281</v>
      </c>
      <c r="AK113" s="1014"/>
      <c r="AL113" s="1014"/>
    </row>
    <row r="114" spans="1:39" ht="13.5" thickBot="1" x14ac:dyDescent="0.25">
      <c r="A114" s="200">
        <v>2045</v>
      </c>
      <c r="B114" s="218">
        <v>0</v>
      </c>
      <c r="C114" s="219">
        <v>4.6536198632701233E-2</v>
      </c>
      <c r="D114" s="219">
        <v>0.24283625986015031</v>
      </c>
      <c r="E114" s="219">
        <v>0.28081683882621727</v>
      </c>
      <c r="F114" s="219">
        <v>0.30616412831854017</v>
      </c>
      <c r="G114" s="219">
        <v>0.29509657140395879</v>
      </c>
      <c r="H114" s="219">
        <v>0.28995655290076688</v>
      </c>
      <c r="I114" s="219">
        <v>0.29007183331347075</v>
      </c>
      <c r="J114" s="219">
        <v>0.28042569536856737</v>
      </c>
      <c r="K114" s="219">
        <v>0.27811214831491754</v>
      </c>
      <c r="L114" s="253">
        <v>0.27315613650011689</v>
      </c>
      <c r="M114" s="182">
        <f t="shared" si="79"/>
        <v>0.16560210164793446</v>
      </c>
      <c r="N114" s="184">
        <f t="shared" si="80"/>
        <v>0.13407442387493557</v>
      </c>
      <c r="O114" s="218">
        <v>0</v>
      </c>
      <c r="P114" s="219">
        <v>7.7929814868003877E-2</v>
      </c>
      <c r="Q114" s="219">
        <v>0.23383514896893898</v>
      </c>
      <c r="R114" s="219">
        <v>0.27042130922116997</v>
      </c>
      <c r="S114" s="219">
        <v>0.30250895998363636</v>
      </c>
      <c r="T114" s="219">
        <v>0.29006299193948754</v>
      </c>
      <c r="U114" s="219">
        <v>0.29020154728493797</v>
      </c>
      <c r="V114" s="219">
        <v>0.28456531789467931</v>
      </c>
      <c r="W114" s="219">
        <v>0.27804718289161867</v>
      </c>
      <c r="X114" s="219">
        <v>0.27476311899610062</v>
      </c>
      <c r="Y114" s="253">
        <v>0.27176320333773107</v>
      </c>
      <c r="Z114" s="182">
        <f t="shared" si="81"/>
        <v>0.10052064381621431</v>
      </c>
      <c r="AA114" s="184">
        <f t="shared" si="82"/>
        <v>8.7357244970186695E-2</v>
      </c>
      <c r="AB114" s="795">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796">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069">
        <f t="shared" si="88"/>
        <v>0</v>
      </c>
      <c r="AE114" s="784">
        <f t="shared" si="85"/>
        <v>0.16560210164793446</v>
      </c>
      <c r="AF114" s="784">
        <f t="shared" si="86"/>
        <v>0.10052064381621431</v>
      </c>
      <c r="AG114" s="784">
        <f t="shared" si="87"/>
        <v>0.26612274546414877</v>
      </c>
      <c r="AH114" s="1015">
        <f t="shared" si="83"/>
        <v>0.62227714267378875</v>
      </c>
      <c r="AI114" s="784">
        <f t="shared" si="84"/>
        <v>0.3777228573262113</v>
      </c>
      <c r="AK114" s="1014"/>
      <c r="AL114" s="1014"/>
    </row>
    <row r="115" spans="1:39" x14ac:dyDescent="0.2">
      <c r="A115" s="201">
        <v>2046</v>
      </c>
      <c r="B115" s="214">
        <v>0</v>
      </c>
      <c r="C115" s="215">
        <v>4.3455212992094025E-2</v>
      </c>
      <c r="D115" s="215">
        <v>0.20011379574043081</v>
      </c>
      <c r="E115" s="215">
        <v>0.23276419239386012</v>
      </c>
      <c r="F115" s="215">
        <v>0.27813842347205009</v>
      </c>
      <c r="G115" s="215">
        <v>0.27393020448072031</v>
      </c>
      <c r="H115" s="215">
        <v>0.27299607898362022</v>
      </c>
      <c r="I115" s="215">
        <v>0.27548329621670459</v>
      </c>
      <c r="J115" s="215">
        <v>0.27195649847605557</v>
      </c>
      <c r="K115" s="215">
        <v>0.26821359436977471</v>
      </c>
      <c r="L115" s="251">
        <v>0.26438021624830099</v>
      </c>
      <c r="M115" s="154">
        <f t="shared" si="79"/>
        <v>0.15071791741942109</v>
      </c>
      <c r="N115" s="156">
        <f t="shared" si="80"/>
        <v>0.11967549114888604</v>
      </c>
      <c r="O115" s="214">
        <v>0</v>
      </c>
      <c r="P115" s="215">
        <v>7.0919641655260227E-2</v>
      </c>
      <c r="Q115" s="215">
        <v>0.20568550740992994</v>
      </c>
      <c r="R115" s="215">
        <v>0.22441524994263762</v>
      </c>
      <c r="S115" s="215">
        <v>0.27485685113634567</v>
      </c>
      <c r="T115" s="215">
        <v>0.27010574918883512</v>
      </c>
      <c r="U115" s="215">
        <v>0.27482290007851046</v>
      </c>
      <c r="V115" s="215">
        <v>0.27166091540701598</v>
      </c>
      <c r="W115" s="215">
        <v>0.26821359436977471</v>
      </c>
      <c r="X115" s="215">
        <v>0.26673093005670478</v>
      </c>
      <c r="Y115" s="251">
        <v>0.26340092518604608</v>
      </c>
      <c r="Z115" s="154">
        <f t="shared" si="81"/>
        <v>9.1348709556289945E-2</v>
      </c>
      <c r="AA115" s="156">
        <f t="shared" si="82"/>
        <v>7.8386335943073857E-2</v>
      </c>
      <c r="AB115" s="795">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796">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069">
        <f t="shared" si="88"/>
        <v>0</v>
      </c>
      <c r="AE115" s="784">
        <f t="shared" si="85"/>
        <v>0.15071791741942109</v>
      </c>
      <c r="AF115" s="784">
        <f t="shared" si="86"/>
        <v>9.1348709556289945E-2</v>
      </c>
      <c r="AG115" s="784">
        <f t="shared" si="87"/>
        <v>0.24206662697571102</v>
      </c>
      <c r="AH115" s="1015">
        <f t="shared" si="83"/>
        <v>0.62262989038362626</v>
      </c>
      <c r="AI115" s="784">
        <f t="shared" si="84"/>
        <v>0.37737010961637385</v>
      </c>
      <c r="AK115" s="1014"/>
      <c r="AL115" s="1014"/>
    </row>
    <row r="116" spans="1:39" x14ac:dyDescent="0.2">
      <c r="A116" s="202">
        <v>2047</v>
      </c>
      <c r="B116" s="216">
        <v>0</v>
      </c>
      <c r="C116" s="217">
        <v>4.4832323541599967E-2</v>
      </c>
      <c r="D116" s="217">
        <v>0.1650027031061348</v>
      </c>
      <c r="E116" s="217">
        <v>0.1996282305823891</v>
      </c>
      <c r="F116" s="217">
        <v>0.25570233548161164</v>
      </c>
      <c r="G116" s="217">
        <v>0.26696853762697104</v>
      </c>
      <c r="H116" s="217">
        <v>0.26134433569918303</v>
      </c>
      <c r="I116" s="217">
        <v>0.26486658296665777</v>
      </c>
      <c r="J116" s="217">
        <v>0.26486271587805438</v>
      </c>
      <c r="K116" s="217">
        <v>0.26211423987828814</v>
      </c>
      <c r="L116" s="252">
        <v>0.25908869739163953</v>
      </c>
      <c r="M116" s="168">
        <f t="shared" si="79"/>
        <v>0.14031918685846284</v>
      </c>
      <c r="N116" s="170">
        <f t="shared" si="80"/>
        <v>0.10954506372105963</v>
      </c>
      <c r="O116" s="216">
        <v>0</v>
      </c>
      <c r="P116" s="217">
        <v>6.8802497035210408E-2</v>
      </c>
      <c r="Q116" s="217">
        <v>0.16824574257245911</v>
      </c>
      <c r="R116" s="217">
        <v>0.19700054081720328</v>
      </c>
      <c r="S116" s="217">
        <v>0.2560466495715692</v>
      </c>
      <c r="T116" s="217">
        <v>0.25662945563002487</v>
      </c>
      <c r="U116" s="217">
        <v>0.26364864448557196</v>
      </c>
      <c r="V116" s="217">
        <v>0.26328576475789062</v>
      </c>
      <c r="W116" s="217">
        <v>0.26092426634156407</v>
      </c>
      <c r="X116" s="217">
        <v>0.26101487705580956</v>
      </c>
      <c r="Y116" s="252">
        <v>0.25834277678105827</v>
      </c>
      <c r="Z116" s="168">
        <f t="shared" si="81"/>
        <v>8.464123436599498E-2</v>
      </c>
      <c r="AA116" s="170">
        <f t="shared" si="82"/>
        <v>7.1574293333706934E-2</v>
      </c>
      <c r="AB116" s="795">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796">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069">
        <f t="shared" si="88"/>
        <v>0</v>
      </c>
      <c r="AE116" s="784">
        <f t="shared" si="85"/>
        <v>0.14031918685846284</v>
      </c>
      <c r="AF116" s="784">
        <f t="shared" si="86"/>
        <v>8.464123436599498E-2</v>
      </c>
      <c r="AG116" s="784">
        <f t="shared" si="87"/>
        <v>0.22496042122445781</v>
      </c>
      <c r="AH116" s="1015">
        <f t="shared" si="83"/>
        <v>0.62375055174019767</v>
      </c>
      <c r="AI116" s="784">
        <f t="shared" si="84"/>
        <v>0.37624944825980233</v>
      </c>
      <c r="AK116" s="1014"/>
      <c r="AL116" s="1014"/>
    </row>
    <row r="117" spans="1:39" x14ac:dyDescent="0.2">
      <c r="A117" s="202">
        <v>2048</v>
      </c>
      <c r="B117" s="216">
        <v>0</v>
      </c>
      <c r="C117" s="217">
        <v>3.9578223555751676E-2</v>
      </c>
      <c r="D117" s="217">
        <v>0.14292142440622976</v>
      </c>
      <c r="E117" s="217">
        <v>0.18139400899568867</v>
      </c>
      <c r="F117" s="217">
        <v>0.24370181299418434</v>
      </c>
      <c r="G117" s="217">
        <v>0.25818022338019964</v>
      </c>
      <c r="H117" s="217">
        <v>0.25440993689409824</v>
      </c>
      <c r="I117" s="217">
        <v>0.25961776633677669</v>
      </c>
      <c r="J117" s="217">
        <v>0.25995850016424715</v>
      </c>
      <c r="K117" s="217">
        <v>0.25761304434270804</v>
      </c>
      <c r="L117" s="252">
        <v>0.25545323785079682</v>
      </c>
      <c r="M117" s="168">
        <f t="shared" si="79"/>
        <v>0.1338496528513044</v>
      </c>
      <c r="N117" s="170">
        <f t="shared" si="80"/>
        <v>0.10294039982784943</v>
      </c>
      <c r="O117" s="216">
        <v>0</v>
      </c>
      <c r="P117" s="217">
        <v>5.6049730834345973E-2</v>
      </c>
      <c r="Q117" s="217">
        <v>0.15029351313872807</v>
      </c>
      <c r="R117" s="217">
        <v>0.1906789418955426</v>
      </c>
      <c r="S117" s="217">
        <v>0.24695059989486823</v>
      </c>
      <c r="T117" s="217">
        <v>0.25927019655764905</v>
      </c>
      <c r="U117" s="217">
        <v>0.25809743798017631</v>
      </c>
      <c r="V117" s="217">
        <v>0.25823465663668072</v>
      </c>
      <c r="W117" s="217">
        <v>0.25664122790206528</v>
      </c>
      <c r="X117" s="217">
        <v>0.25692551520466711</v>
      </c>
      <c r="Y117" s="252">
        <v>0.25545323785079682</v>
      </c>
      <c r="Z117" s="168">
        <f t="shared" si="81"/>
        <v>8.1955449236115974E-2</v>
      </c>
      <c r="AA117" s="170">
        <f t="shared" si="82"/>
        <v>6.8285505111264147E-2</v>
      </c>
      <c r="AB117" s="795">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796">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069">
        <f t="shared" si="88"/>
        <v>0</v>
      </c>
      <c r="AE117" s="784">
        <f t="shared" si="85"/>
        <v>0.1338496528513044</v>
      </c>
      <c r="AF117" s="784">
        <f t="shared" si="86"/>
        <v>8.1955449236115974E-2</v>
      </c>
      <c r="AG117" s="784">
        <f t="shared" si="87"/>
        <v>0.21580510208742038</v>
      </c>
      <c r="AH117" s="1015">
        <f t="shared" si="83"/>
        <v>0.62023395905201217</v>
      </c>
      <c r="AI117" s="784">
        <f t="shared" si="84"/>
        <v>0.37976604094798783</v>
      </c>
      <c r="AK117" s="1014"/>
      <c r="AL117" s="1014"/>
    </row>
    <row r="118" spans="1:39" x14ac:dyDescent="0.2">
      <c r="A118" s="202">
        <v>2049</v>
      </c>
      <c r="B118" s="216">
        <v>0</v>
      </c>
      <c r="C118" s="217">
        <v>3.6781132868849001E-2</v>
      </c>
      <c r="D118" s="217">
        <v>0.1316623657239703</v>
      </c>
      <c r="E118" s="217">
        <v>0.1815196278087044</v>
      </c>
      <c r="F118" s="217">
        <v>0.23692878195681016</v>
      </c>
      <c r="G118" s="217">
        <v>0.25074562530345373</v>
      </c>
      <c r="H118" s="217">
        <v>0.25677151760636507</v>
      </c>
      <c r="I118" s="217">
        <v>0.25689364525521619</v>
      </c>
      <c r="J118" s="217">
        <v>0.25625939524853736</v>
      </c>
      <c r="K118" s="217">
        <v>0.25433919526742998</v>
      </c>
      <c r="L118" s="252">
        <v>0.25409547663667653</v>
      </c>
      <c r="M118" s="168">
        <f t="shared" si="79"/>
        <v>0.13154407407554919</v>
      </c>
      <c r="N118" s="170">
        <f t="shared" si="80"/>
        <v>0.10051453354594599</v>
      </c>
      <c r="O118" s="216">
        <v>0</v>
      </c>
      <c r="P118" s="217">
        <v>5.0095857246037996E-2</v>
      </c>
      <c r="Q118" s="217">
        <v>0.13838206168670356</v>
      </c>
      <c r="R118" s="217">
        <v>0.18255898722546737</v>
      </c>
      <c r="S118" s="217">
        <v>0.24131476039924996</v>
      </c>
      <c r="T118" s="217">
        <v>0.25422781579403819</v>
      </c>
      <c r="U118" s="217">
        <v>0.25521204366258043</v>
      </c>
      <c r="V118" s="217">
        <v>0.25554610317908721</v>
      </c>
      <c r="W118" s="217">
        <v>0.25528880915446245</v>
      </c>
      <c r="X118" s="217">
        <v>0.25482411416625017</v>
      </c>
      <c r="Y118" s="252">
        <v>0.25360258303561112</v>
      </c>
      <c r="Z118" s="168">
        <f t="shared" si="81"/>
        <v>7.9749436972267357E-2</v>
      </c>
      <c r="AA118" s="170">
        <f t="shared" si="82"/>
        <v>6.5830777868241583E-2</v>
      </c>
      <c r="AB118" s="795">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796">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069">
        <f t="shared" si="88"/>
        <v>0</v>
      </c>
      <c r="AE118" s="784">
        <f t="shared" si="85"/>
        <v>0.13154407407554919</v>
      </c>
      <c r="AF118" s="784">
        <f t="shared" si="86"/>
        <v>7.9749436972267357E-2</v>
      </c>
      <c r="AG118" s="784">
        <f t="shared" si="87"/>
        <v>0.21129351104781655</v>
      </c>
      <c r="AH118" s="1015">
        <f t="shared" si="83"/>
        <v>0.62256561227656559</v>
      </c>
      <c r="AI118" s="784">
        <f t="shared" si="84"/>
        <v>0.37743438772343441</v>
      </c>
      <c r="AK118" s="1014"/>
      <c r="AL118" s="1014"/>
    </row>
    <row r="119" spans="1:39" ht="13.5" thickBot="1" x14ac:dyDescent="0.25">
      <c r="A119" s="200">
        <v>2050</v>
      </c>
      <c r="B119" s="218">
        <v>0</v>
      </c>
      <c r="C119" s="219">
        <v>3.3124226862948386E-2</v>
      </c>
      <c r="D119" s="219">
        <v>0.11712344464792031</v>
      </c>
      <c r="E119" s="219">
        <v>0.1681667643363651</v>
      </c>
      <c r="F119" s="219">
        <v>0.22862102471059662</v>
      </c>
      <c r="G119" s="219">
        <v>0.24503388452853139</v>
      </c>
      <c r="H119" s="219">
        <v>0.2515810433952384</v>
      </c>
      <c r="I119" s="219">
        <v>0.25223285712009835</v>
      </c>
      <c r="J119" s="219">
        <v>0.25313556016662819</v>
      </c>
      <c r="K119" s="219">
        <v>0.25144496705713615</v>
      </c>
      <c r="L119" s="253">
        <v>0.25095761735046163</v>
      </c>
      <c r="M119" s="182">
        <f t="shared" si="79"/>
        <v>0.12696381293138131</v>
      </c>
      <c r="N119" s="184">
        <f>SUMPRODUCT($B$73:$L$73,$B119:$L119)</f>
        <v>9.5902983682554718E-2</v>
      </c>
      <c r="O119" s="218">
        <v>0</v>
      </c>
      <c r="P119" s="219">
        <v>5.194366876880966E-2</v>
      </c>
      <c r="Q119" s="219">
        <v>0.12740909301094874</v>
      </c>
      <c r="R119" s="219">
        <v>0.171298340146256</v>
      </c>
      <c r="S119" s="219">
        <v>0.23524414887401313</v>
      </c>
      <c r="T119" s="219">
        <v>0.2472222382632227</v>
      </c>
      <c r="U119" s="219">
        <v>0.25021764412947783</v>
      </c>
      <c r="V119" s="219">
        <v>0.25108074748999365</v>
      </c>
      <c r="W119" s="219">
        <v>0.25144496705713615</v>
      </c>
      <c r="X119" s="219">
        <v>0.25144231787566301</v>
      </c>
      <c r="Y119" s="253">
        <v>0.25075967795031218</v>
      </c>
      <c r="Z119" s="182">
        <f>SUMPRODUCT($O$74:$Y$74,$O119:$Y119)</f>
        <v>7.7262970355950075E-2</v>
      </c>
      <c r="AA119" s="184">
        <f t="shared" si="82"/>
        <v>6.3534400725620915E-2</v>
      </c>
      <c r="AB119" s="797">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798">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070">
        <f t="shared" si="88"/>
        <v>0</v>
      </c>
      <c r="AE119" s="784">
        <f t="shared" si="85"/>
        <v>0.12696381293138131</v>
      </c>
      <c r="AF119" s="784">
        <f t="shared" si="86"/>
        <v>7.7262970355950075E-2</v>
      </c>
      <c r="AG119" s="784">
        <f t="shared" si="87"/>
        <v>0.2042267832873314</v>
      </c>
      <c r="AH119" s="1015">
        <f t="shared" si="83"/>
        <v>0.62168052048664435</v>
      </c>
      <c r="AI119" s="784">
        <f t="shared" si="84"/>
        <v>0.37831947951335554</v>
      </c>
      <c r="AK119" s="1014"/>
      <c r="AL119" s="1014"/>
    </row>
    <row r="120" spans="1:39" x14ac:dyDescent="0.2">
      <c r="B120" s="99" t="str">
        <f>"Output generated: "&amp; TEXT($L$4,"m/dd/yyyy hh:mm")</f>
        <v>Output generated: 11/04/2020 14:47</v>
      </c>
      <c r="O120" s="99" t="str">
        <f>"Output generated: "&amp; TEXT($L$5,"m/dd/yyyy hh:mm")</f>
        <v>Output generated: 11/04/2020 14:47</v>
      </c>
      <c r="AB120"/>
      <c r="AC120"/>
      <c r="AD120"/>
      <c r="AE120" s="784"/>
      <c r="AF120" s="784"/>
      <c r="AG120" s="784"/>
      <c r="AH120" s="784"/>
      <c r="AI120" s="784"/>
    </row>
    <row r="121" spans="1:39" ht="13.5" thickBot="1" x14ac:dyDescent="0.25">
      <c r="AE121" s="784"/>
      <c r="AF121" s="784"/>
      <c r="AG121" s="784"/>
      <c r="AH121" s="784"/>
      <c r="AI121" s="784"/>
    </row>
    <row r="122" spans="1:39" ht="15" x14ac:dyDescent="0.25">
      <c r="A122" s="205"/>
      <c r="B122" s="1539" t="s">
        <v>253</v>
      </c>
      <c r="C122" s="1540"/>
      <c r="D122" s="1540"/>
      <c r="E122" s="1540"/>
      <c r="F122" s="1540"/>
      <c r="G122" s="1540"/>
      <c r="H122" s="1540"/>
      <c r="I122" s="1540"/>
      <c r="J122" s="1540"/>
      <c r="K122" s="1540"/>
      <c r="L122" s="1540"/>
      <c r="M122" s="1540"/>
      <c r="N122" s="1541"/>
      <c r="O122" s="1539" t="s">
        <v>254</v>
      </c>
      <c r="P122" s="1540"/>
      <c r="Q122" s="1540"/>
      <c r="R122" s="1540"/>
      <c r="S122" s="1540"/>
      <c r="T122" s="1540"/>
      <c r="U122" s="1540"/>
      <c r="V122" s="1540"/>
      <c r="W122" s="1540"/>
      <c r="X122" s="1540"/>
      <c r="Y122" s="1540"/>
      <c r="Z122" s="1540"/>
      <c r="AA122" s="1541"/>
      <c r="AE122" s="784"/>
      <c r="AF122" s="784"/>
      <c r="AG122" s="784"/>
      <c r="AH122" s="784"/>
      <c r="AI122" s="784"/>
    </row>
    <row r="123" spans="1:39" x14ac:dyDescent="0.2">
      <c r="A123" s="196"/>
      <c r="B123" s="1536" t="s">
        <v>121</v>
      </c>
      <c r="C123" s="1537"/>
      <c r="D123" s="1537"/>
      <c r="E123" s="1537"/>
      <c r="F123" s="1537"/>
      <c r="G123" s="1537"/>
      <c r="H123" s="1537"/>
      <c r="I123" s="1537"/>
      <c r="J123" s="1537"/>
      <c r="K123" s="1537"/>
      <c r="L123" s="1537"/>
      <c r="M123" s="254"/>
      <c r="N123" s="197"/>
      <c r="O123" s="1536" t="s">
        <v>121</v>
      </c>
      <c r="P123" s="1537"/>
      <c r="Q123" s="1537"/>
      <c r="R123" s="1537"/>
      <c r="S123" s="1537"/>
      <c r="T123" s="1537"/>
      <c r="U123" s="1537"/>
      <c r="V123" s="1537"/>
      <c r="W123" s="1537"/>
      <c r="X123" s="1537"/>
      <c r="Y123" s="1537"/>
      <c r="Z123" s="254"/>
      <c r="AA123" s="197"/>
      <c r="AC123" s="801" t="s">
        <v>267</v>
      </c>
      <c r="AD123" s="106" t="b">
        <f>INDEX(TECH_OPT_FUEL2_Cls1,MATCH(RIGHT(O122),TECH_OPT_ROWS_Cls1,0))&lt;&gt;"N/A"</f>
        <v>0</v>
      </c>
      <c r="AE123" s="784"/>
      <c r="AF123" s="784"/>
      <c r="AG123" s="784"/>
      <c r="AH123" s="784"/>
      <c r="AI123" s="784"/>
    </row>
    <row r="124" spans="1:39" ht="13.5" thickBot="1" x14ac:dyDescent="0.25">
      <c r="A124" s="203"/>
      <c r="B124" s="210" t="s">
        <v>28</v>
      </c>
      <c r="C124" s="211" t="s">
        <v>29</v>
      </c>
      <c r="D124" s="211" t="s">
        <v>30</v>
      </c>
      <c r="E124" s="211" t="s">
        <v>31</v>
      </c>
      <c r="F124" s="211" t="s">
        <v>32</v>
      </c>
      <c r="G124" s="211" t="s">
        <v>33</v>
      </c>
      <c r="H124" s="211" t="s">
        <v>34</v>
      </c>
      <c r="I124" s="211" t="s">
        <v>35</v>
      </c>
      <c r="J124" s="211" t="s">
        <v>36</v>
      </c>
      <c r="K124" s="211" t="s">
        <v>37</v>
      </c>
      <c r="L124" s="249" t="s">
        <v>38</v>
      </c>
      <c r="M124" s="255" t="s">
        <v>122</v>
      </c>
      <c r="N124" s="204" t="s">
        <v>123</v>
      </c>
      <c r="O124" s="210" t="s">
        <v>28</v>
      </c>
      <c r="P124" s="211" t="s">
        <v>29</v>
      </c>
      <c r="Q124" s="211" t="s">
        <v>30</v>
      </c>
      <c r="R124" s="211" t="s">
        <v>31</v>
      </c>
      <c r="S124" s="211" t="s">
        <v>32</v>
      </c>
      <c r="T124" s="211" t="s">
        <v>33</v>
      </c>
      <c r="U124" s="211" t="s">
        <v>34</v>
      </c>
      <c r="V124" s="211" t="s">
        <v>35</v>
      </c>
      <c r="W124" s="211" t="s">
        <v>36</v>
      </c>
      <c r="X124" s="211" t="s">
        <v>37</v>
      </c>
      <c r="Y124" s="249" t="s">
        <v>38</v>
      </c>
      <c r="Z124" s="255" t="s">
        <v>122</v>
      </c>
      <c r="AA124" s="204" t="s">
        <v>123</v>
      </c>
      <c r="AB124" s="783"/>
      <c r="AC124" s="801" t="s">
        <v>268</v>
      </c>
      <c r="AD124" s="106">
        <f>MATCH(RIGHT(O122),TECH_OPT_ROWS_Cls1,0)</f>
        <v>3</v>
      </c>
      <c r="AE124" s="784"/>
      <c r="AF124" s="784"/>
      <c r="AG124" s="784"/>
      <c r="AH124" s="784"/>
      <c r="AI124" s="784"/>
    </row>
    <row r="125" spans="1:39" ht="14.25" thickTop="1" thickBot="1" x14ac:dyDescent="0.25">
      <c r="A125" s="220" t="s">
        <v>124</v>
      </c>
      <c r="B125" s="212">
        <f t="array" ref="B125:L125">TRANSPOSE(Cls2CentTruckShr)</f>
        <v>3.9559734044076443E-2</v>
      </c>
      <c r="C125" s="213">
        <v>8.9650908809480775E-2</v>
      </c>
      <c r="D125" s="213">
        <v>9.1857251580802685E-2</v>
      </c>
      <c r="E125" s="213">
        <v>9.271536797287637E-2</v>
      </c>
      <c r="F125" s="213">
        <v>0.10920126324528824</v>
      </c>
      <c r="G125" s="213">
        <v>4.7813378096654632E-2</v>
      </c>
      <c r="H125" s="213">
        <v>5.2826626309680449E-2</v>
      </c>
      <c r="I125" s="213">
        <v>3.3324854637922362E-2</v>
      </c>
      <c r="J125" s="213">
        <v>1.4796369103015083E-2</v>
      </c>
      <c r="K125" s="213">
        <v>6.5522293759777608E-3</v>
      </c>
      <c r="L125" s="250">
        <v>1.1207747736094297E-2</v>
      </c>
      <c r="M125" s="256"/>
      <c r="N125" s="208"/>
      <c r="O125" s="212">
        <f t="array" ref="O125:Y125">TRANSPOSE(Cls2NCentTruckShr)</f>
        <v>4.6052840844996765E-2</v>
      </c>
      <c r="P125" s="213">
        <v>6.7033462620106746E-2</v>
      </c>
      <c r="Q125" s="213">
        <v>6.2316087841293416E-2</v>
      </c>
      <c r="R125" s="213">
        <v>6.9108422941336428E-2</v>
      </c>
      <c r="S125" s="213">
        <v>7.8222088301235171E-2</v>
      </c>
      <c r="T125" s="213">
        <v>3.5529474750239771E-2</v>
      </c>
      <c r="U125" s="213">
        <v>3.0248313910710867E-2</v>
      </c>
      <c r="V125" s="213">
        <v>8.2628405675757074E-3</v>
      </c>
      <c r="W125" s="213">
        <v>6.4250307191884484E-3</v>
      </c>
      <c r="X125" s="213">
        <v>1.9993158802676368E-3</v>
      </c>
      <c r="Y125" s="1052">
        <v>5.2963907111801883E-3</v>
      </c>
      <c r="Z125" s="1057"/>
      <c r="AA125" s="1058"/>
    </row>
    <row r="126" spans="1:39" x14ac:dyDescent="0.2">
      <c r="A126" s="203" t="s">
        <v>125</v>
      </c>
      <c r="B126" s="770">
        <f t="array" ref="B126:L126">TRANSPOSE(Cls2CentVMTShr)</f>
        <v>6.3375455551975849E-3</v>
      </c>
      <c r="C126" s="771">
        <v>3.496913005496359E-2</v>
      </c>
      <c r="D126" s="771">
        <v>5.9955127131675522E-2</v>
      </c>
      <c r="E126" s="771">
        <v>8.4599669387910512E-2</v>
      </c>
      <c r="F126" s="771">
        <v>0.12702701008436962</v>
      </c>
      <c r="G126" s="771">
        <v>6.7204731283582092E-2</v>
      </c>
      <c r="H126" s="771">
        <v>8.8708982453757024E-2</v>
      </c>
      <c r="I126" s="771">
        <v>6.4694225377098208E-2</v>
      </c>
      <c r="J126" s="771">
        <v>3.2526447027526634E-2</v>
      </c>
      <c r="K126" s="771">
        <v>1.589064319454132E-2</v>
      </c>
      <c r="L126" s="1053">
        <v>3.2608183213810787E-2</v>
      </c>
      <c r="M126" s="1054"/>
      <c r="N126" s="1055"/>
      <c r="O126" s="770">
        <f t="array" ref="O126:Y126">TRANSPOSE(Cls2NCentVMTShr)</f>
        <v>8.1228463417563086E-3</v>
      </c>
      <c r="P126" s="771">
        <v>2.7563836768431361E-2</v>
      </c>
      <c r="Q126" s="771">
        <v>4.1883113088337191E-2</v>
      </c>
      <c r="R126" s="771">
        <v>6.4289357588678764E-2</v>
      </c>
      <c r="S126" s="771">
        <v>9.1183275251204537E-2</v>
      </c>
      <c r="T126" s="771">
        <v>5.1984283219922628E-2</v>
      </c>
      <c r="U126" s="771">
        <v>5.0286059545109812E-2</v>
      </c>
      <c r="V126" s="771">
        <v>1.5542287574292338E-2</v>
      </c>
      <c r="W126" s="771">
        <v>1.4506257462625264E-2</v>
      </c>
      <c r="X126" s="771">
        <v>4.9330966304706684E-3</v>
      </c>
      <c r="Y126" s="772">
        <v>1.5183891764738403E-2</v>
      </c>
      <c r="Z126" s="1054"/>
      <c r="AA126" s="1055"/>
      <c r="AB126" s="1552" t="str">
        <f>"% of miles on f2 for Tech "&amp; RIGHT(O121)&amp;" adopters"</f>
        <v>% of miles on f2 for Tech  adopters</v>
      </c>
      <c r="AC126" s="1553"/>
      <c r="AD126" s="1554"/>
      <c r="AE126" s="784" t="s">
        <v>302</v>
      </c>
      <c r="AF126" s="784"/>
      <c r="AG126" s="784"/>
      <c r="AH126" s="1015" t="s">
        <v>303</v>
      </c>
      <c r="AI126" s="784"/>
    </row>
    <row r="127" spans="1:39" ht="13.5" thickBot="1" x14ac:dyDescent="0.25">
      <c r="A127" s="789" t="s">
        <v>266</v>
      </c>
      <c r="B127" s="780">
        <f t="array" ref="B127:L127">TRANSPOSE(Cls2CentVMT/OPDAYS_Cls2)</f>
        <v>49.332453271995263</v>
      </c>
      <c r="C127" s="781">
        <v>120.11441047790339</v>
      </c>
      <c r="D127" s="781">
        <v>200.99157969807086</v>
      </c>
      <c r="E127" s="781">
        <v>280.98421424125928</v>
      </c>
      <c r="F127" s="781">
        <v>358.20644524895255</v>
      </c>
      <c r="G127" s="781">
        <v>432.82805471770689</v>
      </c>
      <c r="H127" s="781">
        <v>517.10615118099815</v>
      </c>
      <c r="I127" s="781">
        <v>597.8087063838957</v>
      </c>
      <c r="J127" s="781">
        <v>676.93419409560215</v>
      </c>
      <c r="K127" s="781">
        <v>746.82245226325631</v>
      </c>
      <c r="L127" s="782">
        <v>895.92826380844349</v>
      </c>
      <c r="M127" s="778"/>
      <c r="N127" s="779"/>
      <c r="O127" s="780">
        <f t="array" ref="O127:Y127">TRANSPOSE(Cls2NCentVMT/OPDAYS_Cls2)</f>
        <v>54.31462614952413</v>
      </c>
      <c r="P127" s="781">
        <v>126.62311644744663</v>
      </c>
      <c r="Q127" s="781">
        <v>206.96826351576016</v>
      </c>
      <c r="R127" s="781">
        <v>286.46600131499179</v>
      </c>
      <c r="S127" s="781">
        <v>358.9638908170715</v>
      </c>
      <c r="T127" s="781">
        <v>450.55545819643328</v>
      </c>
      <c r="U127" s="781">
        <v>511.93098482414172</v>
      </c>
      <c r="V127" s="781">
        <v>579.22933632093111</v>
      </c>
      <c r="W127" s="781">
        <v>695.25665569614875</v>
      </c>
      <c r="X127" s="781">
        <v>759.80682330760794</v>
      </c>
      <c r="Y127" s="1056">
        <v>882.81167173661356</v>
      </c>
      <c r="Z127" s="790"/>
      <c r="AA127" s="779"/>
      <c r="AB127" s="792" t="s">
        <v>186</v>
      </c>
      <c r="AC127" s="793" t="s">
        <v>15</v>
      </c>
      <c r="AD127" s="794" t="s">
        <v>18</v>
      </c>
      <c r="AE127" s="784" t="s">
        <v>186</v>
      </c>
      <c r="AF127" s="784" t="s">
        <v>15</v>
      </c>
      <c r="AG127" s="784" t="s">
        <v>18</v>
      </c>
      <c r="AH127" s="1015" t="s">
        <v>186</v>
      </c>
      <c r="AI127" s="784" t="s">
        <v>15</v>
      </c>
      <c r="AJ127" s="195"/>
      <c r="AK127" s="195"/>
      <c r="AL127" s="195"/>
      <c r="AM127" s="195"/>
    </row>
    <row r="128" spans="1:39" ht="13.5" thickTop="1" x14ac:dyDescent="0.2">
      <c r="A128" s="198">
        <v>2007</v>
      </c>
      <c r="B128" s="214">
        <v>0</v>
      </c>
      <c r="C128" s="215">
        <v>0</v>
      </c>
      <c r="D128" s="215">
        <v>0</v>
      </c>
      <c r="E128" s="215">
        <v>0</v>
      </c>
      <c r="F128" s="215">
        <v>0</v>
      </c>
      <c r="G128" s="215">
        <v>0</v>
      </c>
      <c r="H128" s="215">
        <v>0</v>
      </c>
      <c r="I128" s="215">
        <v>0</v>
      </c>
      <c r="J128" s="215">
        <v>0</v>
      </c>
      <c r="K128" s="215">
        <v>0</v>
      </c>
      <c r="L128" s="251">
        <v>0</v>
      </c>
      <c r="M128" s="259">
        <f>SUMPRODUCT($B$126:$L$126,$B128:$L128)</f>
        <v>0</v>
      </c>
      <c r="N128" s="209">
        <f>SUMPRODUCT($B$125:$L$125,$B128:$L128)</f>
        <v>0</v>
      </c>
      <c r="O128" s="214">
        <v>0</v>
      </c>
      <c r="P128" s="215">
        <v>0</v>
      </c>
      <c r="Q128" s="215">
        <v>0</v>
      </c>
      <c r="R128" s="215">
        <v>0</v>
      </c>
      <c r="S128" s="215">
        <v>0</v>
      </c>
      <c r="T128" s="215">
        <v>0</v>
      </c>
      <c r="U128" s="215">
        <v>0</v>
      </c>
      <c r="V128" s="215">
        <v>0</v>
      </c>
      <c r="W128" s="215">
        <v>0</v>
      </c>
      <c r="X128" s="215">
        <v>0</v>
      </c>
      <c r="Y128" s="251">
        <v>0</v>
      </c>
      <c r="Z128" s="259">
        <f t="shared" ref="Z128:Z171" si="89">SUMPRODUCT($O$126:$Y$126,$O128:$Y128)</f>
        <v>0</v>
      </c>
      <c r="AA128" s="209">
        <f t="shared" ref="AA128:AA171" si="90">SUMPRODUCT($O$125:$Y$125,$O128:$Y128)</f>
        <v>0</v>
      </c>
      <c r="AB128" s="795">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796">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069">
        <f>AB128*AH128+AC128*AI128</f>
        <v>0</v>
      </c>
      <c r="AE128" s="784">
        <f t="shared" ref="AE128" si="91">SUMPRODUCT($B$74:$L$74,B128:L128)</f>
        <v>0</v>
      </c>
      <c r="AF128" s="784">
        <f t="shared" ref="AF128" si="92">SUMPRODUCT($O$74:$Y$74,O128:Y128)</f>
        <v>0</v>
      </c>
      <c r="AG128" s="784">
        <f t="shared" ref="AG128" si="93">SUM(AE128:AF128)</f>
        <v>0</v>
      </c>
      <c r="AH128" s="1015">
        <f>IF(AG128&gt;0,AE128/AG128,0)</f>
        <v>0</v>
      </c>
      <c r="AI128" s="784">
        <f>IF(AG128&gt;0,AF128/AG128,0)</f>
        <v>0</v>
      </c>
    </row>
    <row r="129" spans="1:35" x14ac:dyDescent="0.2">
      <c r="A129" s="199">
        <v>2008</v>
      </c>
      <c r="B129" s="216">
        <v>0</v>
      </c>
      <c r="C129" s="217">
        <v>0</v>
      </c>
      <c r="D129" s="217">
        <v>0</v>
      </c>
      <c r="E129" s="217">
        <v>0</v>
      </c>
      <c r="F129" s="217">
        <v>0</v>
      </c>
      <c r="G129" s="217">
        <v>0</v>
      </c>
      <c r="H129" s="217">
        <v>0</v>
      </c>
      <c r="I129" s="217">
        <v>0</v>
      </c>
      <c r="J129" s="217">
        <v>0</v>
      </c>
      <c r="K129" s="217">
        <v>0</v>
      </c>
      <c r="L129" s="252">
        <v>0</v>
      </c>
      <c r="M129" s="168">
        <f t="shared" ref="M129:M171" si="94">SUMPRODUCT($B$126:$L$126,$B129:$L129)</f>
        <v>0</v>
      </c>
      <c r="N129" s="170">
        <f t="shared" ref="N129:N171" si="95">SUMPRODUCT($B$125:$L$125,$B129:$L129)</f>
        <v>0</v>
      </c>
      <c r="O129" s="216">
        <v>0</v>
      </c>
      <c r="P129" s="217">
        <v>0</v>
      </c>
      <c r="Q129" s="217">
        <v>0</v>
      </c>
      <c r="R129" s="217">
        <v>0</v>
      </c>
      <c r="S129" s="217">
        <v>0</v>
      </c>
      <c r="T129" s="217">
        <v>0</v>
      </c>
      <c r="U129" s="217">
        <v>0</v>
      </c>
      <c r="V129" s="217">
        <v>0</v>
      </c>
      <c r="W129" s="217">
        <v>0</v>
      </c>
      <c r="X129" s="217">
        <v>0</v>
      </c>
      <c r="Y129" s="252">
        <v>0</v>
      </c>
      <c r="Z129" s="168">
        <f t="shared" si="89"/>
        <v>0</v>
      </c>
      <c r="AA129" s="170">
        <f t="shared" si="90"/>
        <v>0</v>
      </c>
      <c r="AB129" s="795">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796">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069">
        <f t="shared" ref="AD129:AD153" si="96">AB129*AH129+AC129*AI129</f>
        <v>0</v>
      </c>
      <c r="AE129" s="784">
        <f t="shared" ref="AE129:AE143" si="97">SUMPRODUCT($B$74:$L$74,B129:L129)</f>
        <v>0</v>
      </c>
      <c r="AF129" s="784">
        <f t="shared" ref="AF129:AF143" si="98">SUMPRODUCT($O$74:$Y$74,O129:Y129)</f>
        <v>0</v>
      </c>
      <c r="AG129" s="784">
        <f t="shared" ref="AG129:AG143" si="99">SUM(AE129:AF129)</f>
        <v>0</v>
      </c>
      <c r="AH129" s="1015">
        <f>IF(AG129&gt;0,AE129/AG129,0)</f>
        <v>0</v>
      </c>
      <c r="AI129" s="784">
        <f>IF(AG129&gt;0,AF129/AG129,0)</f>
        <v>0</v>
      </c>
    </row>
    <row r="130" spans="1:35" x14ac:dyDescent="0.2">
      <c r="A130" s="199">
        <v>2009</v>
      </c>
      <c r="B130" s="216">
        <v>0</v>
      </c>
      <c r="C130" s="217">
        <v>0</v>
      </c>
      <c r="D130" s="217">
        <v>0</v>
      </c>
      <c r="E130" s="217">
        <v>0</v>
      </c>
      <c r="F130" s="217">
        <v>0</v>
      </c>
      <c r="G130" s="217">
        <v>0</v>
      </c>
      <c r="H130" s="217">
        <v>0</v>
      </c>
      <c r="I130" s="217">
        <v>0</v>
      </c>
      <c r="J130" s="217">
        <v>0</v>
      </c>
      <c r="K130" s="217">
        <v>0</v>
      </c>
      <c r="L130" s="252">
        <v>0</v>
      </c>
      <c r="M130" s="168">
        <f t="shared" si="94"/>
        <v>0</v>
      </c>
      <c r="N130" s="170">
        <f t="shared" si="95"/>
        <v>0</v>
      </c>
      <c r="O130" s="216">
        <v>0</v>
      </c>
      <c r="P130" s="217">
        <v>0</v>
      </c>
      <c r="Q130" s="217">
        <v>0</v>
      </c>
      <c r="R130" s="217">
        <v>0</v>
      </c>
      <c r="S130" s="217">
        <v>0</v>
      </c>
      <c r="T130" s="217">
        <v>0</v>
      </c>
      <c r="U130" s="217">
        <v>0</v>
      </c>
      <c r="V130" s="217">
        <v>0</v>
      </c>
      <c r="W130" s="217">
        <v>0</v>
      </c>
      <c r="X130" s="217">
        <v>0</v>
      </c>
      <c r="Y130" s="252">
        <v>0</v>
      </c>
      <c r="Z130" s="168">
        <f t="shared" si="89"/>
        <v>0</v>
      </c>
      <c r="AA130" s="170">
        <f t="shared" si="90"/>
        <v>0</v>
      </c>
      <c r="AB130" s="795">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796">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069">
        <f t="shared" si="96"/>
        <v>0</v>
      </c>
      <c r="AE130" s="784">
        <f t="shared" si="97"/>
        <v>0</v>
      </c>
      <c r="AF130" s="784">
        <f t="shared" si="98"/>
        <v>0</v>
      </c>
      <c r="AG130" s="784">
        <f t="shared" si="99"/>
        <v>0</v>
      </c>
      <c r="AH130" s="1015">
        <f t="shared" ref="AH130:AH172" si="100">IF(AG130&gt;0,AE130/AG130,0)</f>
        <v>0</v>
      </c>
      <c r="AI130" s="784">
        <f t="shared" ref="AI130:AI172" si="101">IF(AG130&gt;0,AF130/AG130,0)</f>
        <v>0</v>
      </c>
    </row>
    <row r="131" spans="1:35" ht="13.5" thickBot="1" x14ac:dyDescent="0.25">
      <c r="A131" s="200">
        <v>2010</v>
      </c>
      <c r="B131" s="218">
        <v>0</v>
      </c>
      <c r="C131" s="219">
        <v>0</v>
      </c>
      <c r="D131" s="219">
        <v>0</v>
      </c>
      <c r="E131" s="219">
        <v>0</v>
      </c>
      <c r="F131" s="219">
        <v>0</v>
      </c>
      <c r="G131" s="219">
        <v>0</v>
      </c>
      <c r="H131" s="219">
        <v>0</v>
      </c>
      <c r="I131" s="219">
        <v>0</v>
      </c>
      <c r="J131" s="219">
        <v>0</v>
      </c>
      <c r="K131" s="219">
        <v>0</v>
      </c>
      <c r="L131" s="253">
        <v>0</v>
      </c>
      <c r="M131" s="182">
        <f t="shared" si="94"/>
        <v>0</v>
      </c>
      <c r="N131" s="184">
        <f t="shared" si="95"/>
        <v>0</v>
      </c>
      <c r="O131" s="218">
        <v>0</v>
      </c>
      <c r="P131" s="219">
        <v>0</v>
      </c>
      <c r="Q131" s="219">
        <v>0</v>
      </c>
      <c r="R131" s="219">
        <v>0</v>
      </c>
      <c r="S131" s="219">
        <v>0</v>
      </c>
      <c r="T131" s="219">
        <v>0</v>
      </c>
      <c r="U131" s="219">
        <v>0</v>
      </c>
      <c r="V131" s="219">
        <v>0</v>
      </c>
      <c r="W131" s="219">
        <v>0</v>
      </c>
      <c r="X131" s="219">
        <v>0</v>
      </c>
      <c r="Y131" s="253">
        <v>0</v>
      </c>
      <c r="Z131" s="182">
        <f t="shared" si="89"/>
        <v>0</v>
      </c>
      <c r="AA131" s="184">
        <f t="shared" si="90"/>
        <v>0</v>
      </c>
      <c r="AB131" s="795">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796">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069">
        <f t="shared" si="96"/>
        <v>0</v>
      </c>
      <c r="AE131" s="784">
        <f t="shared" si="97"/>
        <v>0</v>
      </c>
      <c r="AF131" s="784">
        <f t="shared" si="98"/>
        <v>0</v>
      </c>
      <c r="AG131" s="784">
        <f t="shared" si="99"/>
        <v>0</v>
      </c>
      <c r="AH131" s="1015">
        <f t="shared" si="100"/>
        <v>0</v>
      </c>
      <c r="AI131" s="784">
        <f t="shared" si="101"/>
        <v>0</v>
      </c>
    </row>
    <row r="132" spans="1:35" x14ac:dyDescent="0.2">
      <c r="A132" s="201">
        <v>2011</v>
      </c>
      <c r="B132" s="214">
        <v>0</v>
      </c>
      <c r="C132" s="215">
        <v>0</v>
      </c>
      <c r="D132" s="215">
        <v>0</v>
      </c>
      <c r="E132" s="215">
        <v>0</v>
      </c>
      <c r="F132" s="215">
        <v>0</v>
      </c>
      <c r="G132" s="215">
        <v>0</v>
      </c>
      <c r="H132" s="215">
        <v>0</v>
      </c>
      <c r="I132" s="215">
        <v>0</v>
      </c>
      <c r="J132" s="215">
        <v>0</v>
      </c>
      <c r="K132" s="215">
        <v>0</v>
      </c>
      <c r="L132" s="251">
        <v>0</v>
      </c>
      <c r="M132" s="154">
        <f t="shared" si="94"/>
        <v>0</v>
      </c>
      <c r="N132" s="156">
        <f t="shared" si="95"/>
        <v>0</v>
      </c>
      <c r="O132" s="214">
        <v>0</v>
      </c>
      <c r="P132" s="215">
        <v>0</v>
      </c>
      <c r="Q132" s="215">
        <v>0</v>
      </c>
      <c r="R132" s="215">
        <v>0</v>
      </c>
      <c r="S132" s="215">
        <v>0</v>
      </c>
      <c r="T132" s="215">
        <v>0</v>
      </c>
      <c r="U132" s="215">
        <v>0</v>
      </c>
      <c r="V132" s="215">
        <v>0</v>
      </c>
      <c r="W132" s="215">
        <v>0</v>
      </c>
      <c r="X132" s="215">
        <v>0</v>
      </c>
      <c r="Y132" s="251">
        <v>0</v>
      </c>
      <c r="Z132" s="154">
        <f t="shared" si="89"/>
        <v>0</v>
      </c>
      <c r="AA132" s="156">
        <f t="shared" si="90"/>
        <v>0</v>
      </c>
      <c r="AB132" s="795">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796">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069">
        <f t="shared" si="96"/>
        <v>0</v>
      </c>
      <c r="AE132" s="784">
        <f t="shared" si="97"/>
        <v>0</v>
      </c>
      <c r="AF132" s="784">
        <f t="shared" si="98"/>
        <v>0</v>
      </c>
      <c r="AG132" s="784">
        <f t="shared" si="99"/>
        <v>0</v>
      </c>
      <c r="AH132" s="1015">
        <f t="shared" si="100"/>
        <v>0</v>
      </c>
      <c r="AI132" s="784">
        <f t="shared" si="101"/>
        <v>0</v>
      </c>
    </row>
    <row r="133" spans="1:35" x14ac:dyDescent="0.2">
      <c r="A133" s="202">
        <v>2012</v>
      </c>
      <c r="B133" s="216">
        <v>0</v>
      </c>
      <c r="C133" s="217">
        <v>0</v>
      </c>
      <c r="D133" s="217">
        <v>0</v>
      </c>
      <c r="E133" s="217">
        <v>0</v>
      </c>
      <c r="F133" s="217">
        <v>0</v>
      </c>
      <c r="G133" s="217">
        <v>0</v>
      </c>
      <c r="H133" s="217">
        <v>0</v>
      </c>
      <c r="I133" s="217">
        <v>0</v>
      </c>
      <c r="J133" s="217">
        <v>0</v>
      </c>
      <c r="K133" s="217">
        <v>0</v>
      </c>
      <c r="L133" s="252">
        <v>0</v>
      </c>
      <c r="M133" s="168">
        <f t="shared" si="94"/>
        <v>0</v>
      </c>
      <c r="N133" s="170">
        <f t="shared" si="95"/>
        <v>0</v>
      </c>
      <c r="O133" s="216">
        <v>0</v>
      </c>
      <c r="P133" s="217">
        <v>0</v>
      </c>
      <c r="Q133" s="217">
        <v>0</v>
      </c>
      <c r="R133" s="217">
        <v>0</v>
      </c>
      <c r="S133" s="217">
        <v>0</v>
      </c>
      <c r="T133" s="217">
        <v>0</v>
      </c>
      <c r="U133" s="217">
        <v>0</v>
      </c>
      <c r="V133" s="217">
        <v>0</v>
      </c>
      <c r="W133" s="217">
        <v>0</v>
      </c>
      <c r="X133" s="217">
        <v>0</v>
      </c>
      <c r="Y133" s="252">
        <v>0</v>
      </c>
      <c r="Z133" s="168">
        <f t="shared" si="89"/>
        <v>0</v>
      </c>
      <c r="AA133" s="170">
        <f t="shared" si="90"/>
        <v>0</v>
      </c>
      <c r="AB133" s="795">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796">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069">
        <f t="shared" si="96"/>
        <v>0</v>
      </c>
      <c r="AE133" s="784">
        <f t="shared" si="97"/>
        <v>0</v>
      </c>
      <c r="AF133" s="784">
        <f t="shared" si="98"/>
        <v>0</v>
      </c>
      <c r="AG133" s="784">
        <f t="shared" si="99"/>
        <v>0</v>
      </c>
      <c r="AH133" s="1015">
        <f t="shared" si="100"/>
        <v>0</v>
      </c>
      <c r="AI133" s="784">
        <f t="shared" si="101"/>
        <v>0</v>
      </c>
    </row>
    <row r="134" spans="1:35" x14ac:dyDescent="0.2">
      <c r="A134" s="202">
        <v>2013</v>
      </c>
      <c r="B134" s="216">
        <v>0</v>
      </c>
      <c r="C134" s="217">
        <v>0</v>
      </c>
      <c r="D134" s="217">
        <v>0</v>
      </c>
      <c r="E134" s="217">
        <v>0</v>
      </c>
      <c r="F134" s="217">
        <v>0</v>
      </c>
      <c r="G134" s="217">
        <v>0</v>
      </c>
      <c r="H134" s="217">
        <v>0</v>
      </c>
      <c r="I134" s="217">
        <v>0</v>
      </c>
      <c r="J134" s="217">
        <v>0</v>
      </c>
      <c r="K134" s="217">
        <v>0</v>
      </c>
      <c r="L134" s="252">
        <v>0</v>
      </c>
      <c r="M134" s="168">
        <f t="shared" si="94"/>
        <v>0</v>
      </c>
      <c r="N134" s="170">
        <f t="shared" si="95"/>
        <v>0</v>
      </c>
      <c r="O134" s="216">
        <v>0</v>
      </c>
      <c r="P134" s="217">
        <v>0</v>
      </c>
      <c r="Q134" s="217">
        <v>0</v>
      </c>
      <c r="R134" s="217">
        <v>0</v>
      </c>
      <c r="S134" s="217">
        <v>0</v>
      </c>
      <c r="T134" s="217">
        <v>0</v>
      </c>
      <c r="U134" s="217">
        <v>0</v>
      </c>
      <c r="V134" s="217">
        <v>0</v>
      </c>
      <c r="W134" s="217">
        <v>0</v>
      </c>
      <c r="X134" s="217">
        <v>0</v>
      </c>
      <c r="Y134" s="252">
        <v>0</v>
      </c>
      <c r="Z134" s="168">
        <f t="shared" si="89"/>
        <v>0</v>
      </c>
      <c r="AA134" s="170">
        <f t="shared" si="90"/>
        <v>0</v>
      </c>
      <c r="AB134" s="795">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796">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069">
        <f t="shared" si="96"/>
        <v>0</v>
      </c>
      <c r="AE134" s="784">
        <f t="shared" si="97"/>
        <v>0</v>
      </c>
      <c r="AF134" s="784">
        <f t="shared" si="98"/>
        <v>0</v>
      </c>
      <c r="AG134" s="784">
        <f t="shared" si="99"/>
        <v>0</v>
      </c>
      <c r="AH134" s="1015">
        <f t="shared" si="100"/>
        <v>0</v>
      </c>
      <c r="AI134" s="784">
        <f t="shared" si="101"/>
        <v>0</v>
      </c>
    </row>
    <row r="135" spans="1:35" x14ac:dyDescent="0.2">
      <c r="A135" s="202">
        <v>2014</v>
      </c>
      <c r="B135" s="216">
        <v>0</v>
      </c>
      <c r="C135" s="217">
        <v>0</v>
      </c>
      <c r="D135" s="217">
        <v>0</v>
      </c>
      <c r="E135" s="217">
        <v>0</v>
      </c>
      <c r="F135" s="217">
        <v>0</v>
      </c>
      <c r="G135" s="217">
        <v>0</v>
      </c>
      <c r="H135" s="217">
        <v>0</v>
      </c>
      <c r="I135" s="217">
        <v>0</v>
      </c>
      <c r="J135" s="217">
        <v>0</v>
      </c>
      <c r="K135" s="217">
        <v>0</v>
      </c>
      <c r="L135" s="252">
        <v>0</v>
      </c>
      <c r="M135" s="168">
        <f t="shared" si="94"/>
        <v>0</v>
      </c>
      <c r="N135" s="170">
        <f t="shared" si="95"/>
        <v>0</v>
      </c>
      <c r="O135" s="216">
        <v>0</v>
      </c>
      <c r="P135" s="217">
        <v>0</v>
      </c>
      <c r="Q135" s="217">
        <v>0</v>
      </c>
      <c r="R135" s="217">
        <v>0</v>
      </c>
      <c r="S135" s="217">
        <v>0</v>
      </c>
      <c r="T135" s="217">
        <v>0</v>
      </c>
      <c r="U135" s="217">
        <v>0</v>
      </c>
      <c r="V135" s="217">
        <v>0</v>
      </c>
      <c r="W135" s="217">
        <v>0</v>
      </c>
      <c r="X135" s="217">
        <v>0</v>
      </c>
      <c r="Y135" s="252">
        <v>0</v>
      </c>
      <c r="Z135" s="168">
        <f t="shared" si="89"/>
        <v>0</v>
      </c>
      <c r="AA135" s="170">
        <f t="shared" si="90"/>
        <v>0</v>
      </c>
      <c r="AB135" s="795">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796">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069">
        <f t="shared" si="96"/>
        <v>0</v>
      </c>
      <c r="AE135" s="784">
        <f t="shared" si="97"/>
        <v>0</v>
      </c>
      <c r="AF135" s="784">
        <f t="shared" si="98"/>
        <v>0</v>
      </c>
      <c r="AG135" s="784">
        <f t="shared" si="99"/>
        <v>0</v>
      </c>
      <c r="AH135" s="1015">
        <f t="shared" si="100"/>
        <v>0</v>
      </c>
      <c r="AI135" s="784">
        <f t="shared" si="101"/>
        <v>0</v>
      </c>
    </row>
    <row r="136" spans="1:35" ht="13.5" thickBot="1" x14ac:dyDescent="0.25">
      <c r="A136" s="200">
        <v>2015</v>
      </c>
      <c r="B136" s="218">
        <v>0</v>
      </c>
      <c r="C136" s="219">
        <v>0</v>
      </c>
      <c r="D136" s="219">
        <v>0</v>
      </c>
      <c r="E136" s="219">
        <v>0</v>
      </c>
      <c r="F136" s="219">
        <v>0</v>
      </c>
      <c r="G136" s="219">
        <v>0</v>
      </c>
      <c r="H136" s="219">
        <v>0</v>
      </c>
      <c r="I136" s="219">
        <v>0</v>
      </c>
      <c r="J136" s="219">
        <v>0</v>
      </c>
      <c r="K136" s="219">
        <v>0</v>
      </c>
      <c r="L136" s="253">
        <v>0</v>
      </c>
      <c r="M136" s="182">
        <f t="shared" si="94"/>
        <v>0</v>
      </c>
      <c r="N136" s="184">
        <f t="shared" si="95"/>
        <v>0</v>
      </c>
      <c r="O136" s="218">
        <v>0</v>
      </c>
      <c r="P136" s="219">
        <v>0</v>
      </c>
      <c r="Q136" s="219">
        <v>0</v>
      </c>
      <c r="R136" s="219">
        <v>0</v>
      </c>
      <c r="S136" s="219">
        <v>0</v>
      </c>
      <c r="T136" s="219">
        <v>0</v>
      </c>
      <c r="U136" s="219">
        <v>0</v>
      </c>
      <c r="V136" s="219">
        <v>0</v>
      </c>
      <c r="W136" s="219">
        <v>0</v>
      </c>
      <c r="X136" s="219">
        <v>0</v>
      </c>
      <c r="Y136" s="253">
        <v>0</v>
      </c>
      <c r="Z136" s="182">
        <f t="shared" si="89"/>
        <v>0</v>
      </c>
      <c r="AA136" s="184">
        <f t="shared" si="90"/>
        <v>0</v>
      </c>
      <c r="AB136" s="795">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796">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069">
        <f t="shared" si="96"/>
        <v>0</v>
      </c>
      <c r="AE136" s="784">
        <f t="shared" si="97"/>
        <v>0</v>
      </c>
      <c r="AF136" s="784">
        <f t="shared" si="98"/>
        <v>0</v>
      </c>
      <c r="AG136" s="784">
        <f t="shared" si="99"/>
        <v>0</v>
      </c>
      <c r="AH136" s="1015">
        <f t="shared" si="100"/>
        <v>0</v>
      </c>
      <c r="AI136" s="784">
        <f t="shared" si="101"/>
        <v>0</v>
      </c>
    </row>
    <row r="137" spans="1:35" x14ac:dyDescent="0.2">
      <c r="A137" s="201">
        <v>2016</v>
      </c>
      <c r="B137" s="214">
        <v>0</v>
      </c>
      <c r="C137" s="215">
        <v>0</v>
      </c>
      <c r="D137" s="215">
        <v>0</v>
      </c>
      <c r="E137" s="215">
        <v>0</v>
      </c>
      <c r="F137" s="215">
        <v>0</v>
      </c>
      <c r="G137" s="215">
        <v>0</v>
      </c>
      <c r="H137" s="215">
        <v>0</v>
      </c>
      <c r="I137" s="215">
        <v>0</v>
      </c>
      <c r="J137" s="215">
        <v>0</v>
      </c>
      <c r="K137" s="215">
        <v>0</v>
      </c>
      <c r="L137" s="251">
        <v>0</v>
      </c>
      <c r="M137" s="154">
        <f t="shared" si="94"/>
        <v>0</v>
      </c>
      <c r="N137" s="156">
        <f t="shared" si="95"/>
        <v>0</v>
      </c>
      <c r="O137" s="214">
        <v>0</v>
      </c>
      <c r="P137" s="215">
        <v>0</v>
      </c>
      <c r="Q137" s="215">
        <v>0</v>
      </c>
      <c r="R137" s="215">
        <v>0</v>
      </c>
      <c r="S137" s="215">
        <v>0</v>
      </c>
      <c r="T137" s="215">
        <v>0</v>
      </c>
      <c r="U137" s="215">
        <v>0</v>
      </c>
      <c r="V137" s="215">
        <v>0</v>
      </c>
      <c r="W137" s="215">
        <v>0</v>
      </c>
      <c r="X137" s="215">
        <v>0</v>
      </c>
      <c r="Y137" s="251">
        <v>0</v>
      </c>
      <c r="Z137" s="154">
        <f t="shared" si="89"/>
        <v>0</v>
      </c>
      <c r="AA137" s="156">
        <f t="shared" si="90"/>
        <v>0</v>
      </c>
      <c r="AB137" s="795">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796">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069">
        <f t="shared" si="96"/>
        <v>0</v>
      </c>
      <c r="AE137" s="784">
        <f t="shared" si="97"/>
        <v>0</v>
      </c>
      <c r="AF137" s="784">
        <f t="shared" si="98"/>
        <v>0</v>
      </c>
      <c r="AG137" s="784">
        <f t="shared" si="99"/>
        <v>0</v>
      </c>
      <c r="AH137" s="1015">
        <f t="shared" si="100"/>
        <v>0</v>
      </c>
      <c r="AI137" s="784">
        <f t="shared" si="101"/>
        <v>0</v>
      </c>
    </row>
    <row r="138" spans="1:35" x14ac:dyDescent="0.2">
      <c r="A138" s="202">
        <v>2017</v>
      </c>
      <c r="B138" s="216">
        <v>0</v>
      </c>
      <c r="C138" s="217">
        <v>0</v>
      </c>
      <c r="D138" s="217">
        <v>0</v>
      </c>
      <c r="E138" s="217">
        <v>0</v>
      </c>
      <c r="F138" s="217">
        <v>0</v>
      </c>
      <c r="G138" s="217">
        <v>0</v>
      </c>
      <c r="H138" s="217">
        <v>0</v>
      </c>
      <c r="I138" s="217">
        <v>0</v>
      </c>
      <c r="J138" s="217">
        <v>0</v>
      </c>
      <c r="K138" s="217">
        <v>0</v>
      </c>
      <c r="L138" s="252">
        <v>0</v>
      </c>
      <c r="M138" s="168">
        <f t="shared" si="94"/>
        <v>0</v>
      </c>
      <c r="N138" s="170">
        <f t="shared" si="95"/>
        <v>0</v>
      </c>
      <c r="O138" s="216">
        <v>0</v>
      </c>
      <c r="P138" s="217">
        <v>0</v>
      </c>
      <c r="Q138" s="217">
        <v>0</v>
      </c>
      <c r="R138" s="217">
        <v>0</v>
      </c>
      <c r="S138" s="217">
        <v>0</v>
      </c>
      <c r="T138" s="217">
        <v>0</v>
      </c>
      <c r="U138" s="217">
        <v>0</v>
      </c>
      <c r="V138" s="217">
        <v>0</v>
      </c>
      <c r="W138" s="217">
        <v>0</v>
      </c>
      <c r="X138" s="217">
        <v>0</v>
      </c>
      <c r="Y138" s="252">
        <v>0</v>
      </c>
      <c r="Z138" s="168">
        <f t="shared" si="89"/>
        <v>0</v>
      </c>
      <c r="AA138" s="170">
        <f t="shared" si="90"/>
        <v>0</v>
      </c>
      <c r="AB138" s="795">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796">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069">
        <f t="shared" si="96"/>
        <v>0</v>
      </c>
      <c r="AE138" s="784">
        <f t="shared" si="97"/>
        <v>0</v>
      </c>
      <c r="AF138" s="784">
        <f t="shared" si="98"/>
        <v>0</v>
      </c>
      <c r="AG138" s="784">
        <f t="shared" si="99"/>
        <v>0</v>
      </c>
      <c r="AH138" s="1015">
        <f t="shared" si="100"/>
        <v>0</v>
      </c>
      <c r="AI138" s="784">
        <f t="shared" si="101"/>
        <v>0</v>
      </c>
    </row>
    <row r="139" spans="1:35" x14ac:dyDescent="0.2">
      <c r="A139" s="202">
        <v>2018</v>
      </c>
      <c r="B139" s="216">
        <v>0</v>
      </c>
      <c r="C139" s="217">
        <v>0</v>
      </c>
      <c r="D139" s="217">
        <v>0</v>
      </c>
      <c r="E139" s="217">
        <v>0</v>
      </c>
      <c r="F139" s="217">
        <v>0</v>
      </c>
      <c r="G139" s="217">
        <v>0</v>
      </c>
      <c r="H139" s="217">
        <v>0</v>
      </c>
      <c r="I139" s="217">
        <v>0</v>
      </c>
      <c r="J139" s="217">
        <v>0</v>
      </c>
      <c r="K139" s="217">
        <v>0</v>
      </c>
      <c r="L139" s="252">
        <v>0</v>
      </c>
      <c r="M139" s="168">
        <f t="shared" si="94"/>
        <v>0</v>
      </c>
      <c r="N139" s="170">
        <f t="shared" si="95"/>
        <v>0</v>
      </c>
      <c r="O139" s="216">
        <v>0</v>
      </c>
      <c r="P139" s="217">
        <v>0</v>
      </c>
      <c r="Q139" s="217">
        <v>0</v>
      </c>
      <c r="R139" s="217">
        <v>0</v>
      </c>
      <c r="S139" s="217">
        <v>0</v>
      </c>
      <c r="T139" s="217">
        <v>0</v>
      </c>
      <c r="U139" s="217">
        <v>0</v>
      </c>
      <c r="V139" s="217">
        <v>0</v>
      </c>
      <c r="W139" s="217">
        <v>0</v>
      </c>
      <c r="X139" s="217">
        <v>0</v>
      </c>
      <c r="Y139" s="252">
        <v>0</v>
      </c>
      <c r="Z139" s="168">
        <f t="shared" si="89"/>
        <v>0</v>
      </c>
      <c r="AA139" s="170">
        <f t="shared" si="90"/>
        <v>0</v>
      </c>
      <c r="AB139" s="795">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796">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069">
        <f t="shared" si="96"/>
        <v>0</v>
      </c>
      <c r="AE139" s="784">
        <f t="shared" si="97"/>
        <v>0</v>
      </c>
      <c r="AF139" s="784">
        <f t="shared" si="98"/>
        <v>0</v>
      </c>
      <c r="AG139" s="784">
        <f t="shared" si="99"/>
        <v>0</v>
      </c>
      <c r="AH139" s="1015">
        <f t="shared" si="100"/>
        <v>0</v>
      </c>
      <c r="AI139" s="784">
        <f t="shared" si="101"/>
        <v>0</v>
      </c>
    </row>
    <row r="140" spans="1:35" x14ac:dyDescent="0.2">
      <c r="A140" s="202">
        <v>2019</v>
      </c>
      <c r="B140" s="216">
        <v>0</v>
      </c>
      <c r="C140" s="217">
        <v>0</v>
      </c>
      <c r="D140" s="217">
        <v>0</v>
      </c>
      <c r="E140" s="217">
        <v>0</v>
      </c>
      <c r="F140" s="217">
        <v>0</v>
      </c>
      <c r="G140" s="217">
        <v>0</v>
      </c>
      <c r="H140" s="217">
        <v>0</v>
      </c>
      <c r="I140" s="217">
        <v>0</v>
      </c>
      <c r="J140" s="217">
        <v>0</v>
      </c>
      <c r="K140" s="217">
        <v>0</v>
      </c>
      <c r="L140" s="252">
        <v>0</v>
      </c>
      <c r="M140" s="168">
        <f t="shared" si="94"/>
        <v>0</v>
      </c>
      <c r="N140" s="170">
        <f t="shared" si="95"/>
        <v>0</v>
      </c>
      <c r="O140" s="216">
        <v>0</v>
      </c>
      <c r="P140" s="217">
        <v>0</v>
      </c>
      <c r="Q140" s="217">
        <v>0</v>
      </c>
      <c r="R140" s="217">
        <v>0</v>
      </c>
      <c r="S140" s="217">
        <v>0</v>
      </c>
      <c r="T140" s="217">
        <v>0</v>
      </c>
      <c r="U140" s="217">
        <v>0</v>
      </c>
      <c r="V140" s="217">
        <v>0</v>
      </c>
      <c r="W140" s="217">
        <v>0</v>
      </c>
      <c r="X140" s="217">
        <v>0</v>
      </c>
      <c r="Y140" s="252">
        <v>0</v>
      </c>
      <c r="Z140" s="168">
        <f t="shared" si="89"/>
        <v>0</v>
      </c>
      <c r="AA140" s="170">
        <f t="shared" si="90"/>
        <v>0</v>
      </c>
      <c r="AB140" s="795">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796">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069">
        <f t="shared" si="96"/>
        <v>0</v>
      </c>
      <c r="AE140" s="784">
        <f t="shared" si="97"/>
        <v>0</v>
      </c>
      <c r="AF140" s="784">
        <f t="shared" si="98"/>
        <v>0</v>
      </c>
      <c r="AG140" s="784">
        <f t="shared" si="99"/>
        <v>0</v>
      </c>
      <c r="AH140" s="1015">
        <f t="shared" si="100"/>
        <v>0</v>
      </c>
      <c r="AI140" s="784">
        <f t="shared" si="101"/>
        <v>0</v>
      </c>
    </row>
    <row r="141" spans="1:35" ht="13.5" thickBot="1" x14ac:dyDescent="0.25">
      <c r="A141" s="200">
        <v>2020</v>
      </c>
      <c r="B141" s="218">
        <v>0</v>
      </c>
      <c r="C141" s="219">
        <v>0</v>
      </c>
      <c r="D141" s="219">
        <v>0</v>
      </c>
      <c r="E141" s="219">
        <v>0</v>
      </c>
      <c r="F141" s="219">
        <v>0</v>
      </c>
      <c r="G141" s="219">
        <v>0</v>
      </c>
      <c r="H141" s="219">
        <v>0</v>
      </c>
      <c r="I141" s="219">
        <v>0</v>
      </c>
      <c r="J141" s="219">
        <v>0</v>
      </c>
      <c r="K141" s="219">
        <v>0</v>
      </c>
      <c r="L141" s="253">
        <v>0</v>
      </c>
      <c r="M141" s="182">
        <f t="shared" si="94"/>
        <v>0</v>
      </c>
      <c r="N141" s="184">
        <f t="shared" si="95"/>
        <v>0</v>
      </c>
      <c r="O141" s="218">
        <v>0</v>
      </c>
      <c r="P141" s="219">
        <v>0</v>
      </c>
      <c r="Q141" s="219">
        <v>0</v>
      </c>
      <c r="R141" s="219">
        <v>0</v>
      </c>
      <c r="S141" s="219">
        <v>0</v>
      </c>
      <c r="T141" s="219">
        <v>0</v>
      </c>
      <c r="U141" s="219">
        <v>0</v>
      </c>
      <c r="V141" s="219">
        <v>0</v>
      </c>
      <c r="W141" s="219">
        <v>0</v>
      </c>
      <c r="X141" s="219">
        <v>0</v>
      </c>
      <c r="Y141" s="253">
        <v>0</v>
      </c>
      <c r="Z141" s="182">
        <f t="shared" si="89"/>
        <v>0</v>
      </c>
      <c r="AA141" s="184">
        <f t="shared" si="90"/>
        <v>0</v>
      </c>
      <c r="AB141" s="795">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796">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069">
        <f t="shared" si="96"/>
        <v>0</v>
      </c>
      <c r="AE141" s="784">
        <f t="shared" si="97"/>
        <v>0</v>
      </c>
      <c r="AF141" s="784">
        <f t="shared" si="98"/>
        <v>0</v>
      </c>
      <c r="AG141" s="784">
        <f t="shared" si="99"/>
        <v>0</v>
      </c>
      <c r="AH141" s="1015">
        <f t="shared" si="100"/>
        <v>0</v>
      </c>
      <c r="AI141" s="784">
        <f t="shared" si="101"/>
        <v>0</v>
      </c>
    </row>
    <row r="142" spans="1:35" x14ac:dyDescent="0.2">
      <c r="A142" s="201">
        <v>2021</v>
      </c>
      <c r="B142" s="214">
        <v>0</v>
      </c>
      <c r="C142" s="215">
        <v>0</v>
      </c>
      <c r="D142" s="215">
        <v>0</v>
      </c>
      <c r="E142" s="215">
        <v>0</v>
      </c>
      <c r="F142" s="215">
        <v>0</v>
      </c>
      <c r="G142" s="215">
        <v>0</v>
      </c>
      <c r="H142" s="215">
        <v>0</v>
      </c>
      <c r="I142" s="215">
        <v>0</v>
      </c>
      <c r="J142" s="215">
        <v>0</v>
      </c>
      <c r="K142" s="215">
        <v>0</v>
      </c>
      <c r="L142" s="251">
        <v>0</v>
      </c>
      <c r="M142" s="154">
        <f t="shared" si="94"/>
        <v>0</v>
      </c>
      <c r="N142" s="156">
        <f t="shared" si="95"/>
        <v>0</v>
      </c>
      <c r="O142" s="214">
        <v>0</v>
      </c>
      <c r="P142" s="215">
        <v>0</v>
      </c>
      <c r="Q142" s="215">
        <v>0</v>
      </c>
      <c r="R142" s="215">
        <v>0</v>
      </c>
      <c r="S142" s="215">
        <v>0</v>
      </c>
      <c r="T142" s="215">
        <v>0</v>
      </c>
      <c r="U142" s="215">
        <v>0</v>
      </c>
      <c r="V142" s="215">
        <v>0</v>
      </c>
      <c r="W142" s="215">
        <v>0</v>
      </c>
      <c r="X142" s="215">
        <v>0</v>
      </c>
      <c r="Y142" s="251">
        <v>0</v>
      </c>
      <c r="Z142" s="154">
        <f t="shared" si="89"/>
        <v>0</v>
      </c>
      <c r="AA142" s="156">
        <f t="shared" si="90"/>
        <v>0</v>
      </c>
      <c r="AB142" s="795">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796">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069">
        <f t="shared" si="96"/>
        <v>0</v>
      </c>
      <c r="AE142" s="784">
        <f t="shared" si="97"/>
        <v>0</v>
      </c>
      <c r="AF142" s="784">
        <f t="shared" si="98"/>
        <v>0</v>
      </c>
      <c r="AG142" s="784">
        <f t="shared" si="99"/>
        <v>0</v>
      </c>
      <c r="AH142" s="1015">
        <f t="shared" si="100"/>
        <v>0</v>
      </c>
      <c r="AI142" s="784">
        <f t="shared" si="101"/>
        <v>0</v>
      </c>
    </row>
    <row r="143" spans="1:35" x14ac:dyDescent="0.2">
      <c r="A143" s="202">
        <v>2022</v>
      </c>
      <c r="B143" s="216">
        <v>0</v>
      </c>
      <c r="C143" s="217">
        <v>0</v>
      </c>
      <c r="D143" s="217">
        <v>0</v>
      </c>
      <c r="E143" s="217">
        <v>0</v>
      </c>
      <c r="F143" s="217">
        <v>0</v>
      </c>
      <c r="G143" s="217">
        <v>0</v>
      </c>
      <c r="H143" s="217">
        <v>0</v>
      </c>
      <c r="I143" s="217">
        <v>0</v>
      </c>
      <c r="J143" s="217">
        <v>0</v>
      </c>
      <c r="K143" s="217">
        <v>0</v>
      </c>
      <c r="L143" s="252">
        <v>0</v>
      </c>
      <c r="M143" s="168">
        <f t="shared" si="94"/>
        <v>0</v>
      </c>
      <c r="N143" s="170">
        <f t="shared" si="95"/>
        <v>0</v>
      </c>
      <c r="O143" s="216">
        <v>0</v>
      </c>
      <c r="P143" s="217">
        <v>0</v>
      </c>
      <c r="Q143" s="217">
        <v>0</v>
      </c>
      <c r="R143" s="217">
        <v>0</v>
      </c>
      <c r="S143" s="217">
        <v>0</v>
      </c>
      <c r="T143" s="217">
        <v>0</v>
      </c>
      <c r="U143" s="217">
        <v>0</v>
      </c>
      <c r="V143" s="217">
        <v>0</v>
      </c>
      <c r="W143" s="217">
        <v>0</v>
      </c>
      <c r="X143" s="217">
        <v>0</v>
      </c>
      <c r="Y143" s="252">
        <v>0</v>
      </c>
      <c r="Z143" s="168">
        <f t="shared" si="89"/>
        <v>0</v>
      </c>
      <c r="AA143" s="170">
        <f t="shared" si="90"/>
        <v>0</v>
      </c>
      <c r="AB143" s="795">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796">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069">
        <f t="shared" si="96"/>
        <v>0</v>
      </c>
      <c r="AE143" s="784">
        <f t="shared" si="97"/>
        <v>0</v>
      </c>
      <c r="AF143" s="784">
        <f t="shared" si="98"/>
        <v>0</v>
      </c>
      <c r="AG143" s="784">
        <f t="shared" si="99"/>
        <v>0</v>
      </c>
      <c r="AH143" s="1015">
        <f t="shared" si="100"/>
        <v>0</v>
      </c>
      <c r="AI143" s="784">
        <f t="shared" si="101"/>
        <v>0</v>
      </c>
    </row>
    <row r="144" spans="1:35" x14ac:dyDescent="0.2">
      <c r="A144" s="202">
        <v>2023</v>
      </c>
      <c r="B144" s="216">
        <v>0</v>
      </c>
      <c r="C144" s="217">
        <v>0</v>
      </c>
      <c r="D144" s="217">
        <v>0</v>
      </c>
      <c r="E144" s="217">
        <v>0</v>
      </c>
      <c r="F144" s="217">
        <v>0</v>
      </c>
      <c r="G144" s="217">
        <v>0</v>
      </c>
      <c r="H144" s="217">
        <v>0</v>
      </c>
      <c r="I144" s="217">
        <v>0</v>
      </c>
      <c r="J144" s="217">
        <v>0</v>
      </c>
      <c r="K144" s="217">
        <v>0</v>
      </c>
      <c r="L144" s="252">
        <v>0</v>
      </c>
      <c r="M144" s="168">
        <f t="shared" si="94"/>
        <v>0</v>
      </c>
      <c r="N144" s="170">
        <f t="shared" si="95"/>
        <v>0</v>
      </c>
      <c r="O144" s="216">
        <v>0</v>
      </c>
      <c r="P144" s="217">
        <v>0</v>
      </c>
      <c r="Q144" s="217">
        <v>0</v>
      </c>
      <c r="R144" s="217">
        <v>0</v>
      </c>
      <c r="S144" s="217">
        <v>0</v>
      </c>
      <c r="T144" s="217">
        <v>0</v>
      </c>
      <c r="U144" s="217">
        <v>0</v>
      </c>
      <c r="V144" s="217">
        <v>0</v>
      </c>
      <c r="W144" s="217">
        <v>0</v>
      </c>
      <c r="X144" s="217">
        <v>0</v>
      </c>
      <c r="Y144" s="252">
        <v>0</v>
      </c>
      <c r="Z144" s="168">
        <f t="shared" si="89"/>
        <v>0</v>
      </c>
      <c r="AA144" s="170">
        <f t="shared" si="90"/>
        <v>0</v>
      </c>
      <c r="AB144" s="795">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796">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069">
        <f t="shared" si="96"/>
        <v>0</v>
      </c>
      <c r="AE144" s="784">
        <f>SUMPRODUCT($B$74:$L$74,B144:L144)</f>
        <v>0</v>
      </c>
      <c r="AF144" s="784">
        <f>SUMPRODUCT($O$74:$Y$74,O144:Y144)</f>
        <v>0</v>
      </c>
      <c r="AG144" s="784">
        <f>SUM(AE144:AF144)</f>
        <v>0</v>
      </c>
      <c r="AH144" s="1015">
        <f t="shared" si="100"/>
        <v>0</v>
      </c>
      <c r="AI144" s="784">
        <f t="shared" si="101"/>
        <v>0</v>
      </c>
    </row>
    <row r="145" spans="1:35" x14ac:dyDescent="0.2">
      <c r="A145" s="202">
        <v>2024</v>
      </c>
      <c r="B145" s="216">
        <v>0</v>
      </c>
      <c r="C145" s="217">
        <v>0</v>
      </c>
      <c r="D145" s="217">
        <v>0</v>
      </c>
      <c r="E145" s="217">
        <v>0</v>
      </c>
      <c r="F145" s="217">
        <v>0</v>
      </c>
      <c r="G145" s="217">
        <v>0</v>
      </c>
      <c r="H145" s="217">
        <v>0</v>
      </c>
      <c r="I145" s="217">
        <v>0</v>
      </c>
      <c r="J145" s="217">
        <v>0</v>
      </c>
      <c r="K145" s="217">
        <v>0</v>
      </c>
      <c r="L145" s="252">
        <v>0</v>
      </c>
      <c r="M145" s="168">
        <f t="shared" si="94"/>
        <v>0</v>
      </c>
      <c r="N145" s="170">
        <f t="shared" si="95"/>
        <v>0</v>
      </c>
      <c r="O145" s="216">
        <v>0</v>
      </c>
      <c r="P145" s="217">
        <v>0</v>
      </c>
      <c r="Q145" s="217">
        <v>0</v>
      </c>
      <c r="R145" s="217">
        <v>0</v>
      </c>
      <c r="S145" s="217">
        <v>0</v>
      </c>
      <c r="T145" s="217">
        <v>0</v>
      </c>
      <c r="U145" s="217">
        <v>0</v>
      </c>
      <c r="V145" s="217">
        <v>0</v>
      </c>
      <c r="W145" s="217">
        <v>0</v>
      </c>
      <c r="X145" s="217">
        <v>0</v>
      </c>
      <c r="Y145" s="252">
        <v>0</v>
      </c>
      <c r="Z145" s="168">
        <f t="shared" si="89"/>
        <v>0</v>
      </c>
      <c r="AA145" s="170">
        <f t="shared" si="90"/>
        <v>0</v>
      </c>
      <c r="AB145" s="795">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796">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069">
        <f t="shared" si="96"/>
        <v>0</v>
      </c>
      <c r="AE145" s="784">
        <f t="shared" ref="AE145:AE172" si="102">SUMPRODUCT($B$74:$L$74,B145:L145)</f>
        <v>0</v>
      </c>
      <c r="AF145" s="784">
        <f t="shared" ref="AF145:AF172" si="103">SUMPRODUCT($O$74:$Y$74,O145:Y145)</f>
        <v>0</v>
      </c>
      <c r="AG145" s="784">
        <f t="shared" ref="AG145:AG172" si="104">SUM(AE145:AF145)</f>
        <v>0</v>
      </c>
      <c r="AH145" s="1015">
        <f t="shared" si="100"/>
        <v>0</v>
      </c>
      <c r="AI145" s="784">
        <f t="shared" si="101"/>
        <v>0</v>
      </c>
    </row>
    <row r="146" spans="1:35" ht="13.5" thickBot="1" x14ac:dyDescent="0.25">
      <c r="A146" s="200">
        <v>2025</v>
      </c>
      <c r="B146" s="218">
        <v>0</v>
      </c>
      <c r="C146" s="219">
        <v>0</v>
      </c>
      <c r="D146" s="219">
        <v>0</v>
      </c>
      <c r="E146" s="219">
        <v>0</v>
      </c>
      <c r="F146" s="219">
        <v>0</v>
      </c>
      <c r="G146" s="219">
        <v>0</v>
      </c>
      <c r="H146" s="219">
        <v>0</v>
      </c>
      <c r="I146" s="219">
        <v>0</v>
      </c>
      <c r="J146" s="219">
        <v>0</v>
      </c>
      <c r="K146" s="219">
        <v>0</v>
      </c>
      <c r="L146" s="253">
        <v>0</v>
      </c>
      <c r="M146" s="182">
        <f t="shared" si="94"/>
        <v>0</v>
      </c>
      <c r="N146" s="184">
        <f t="shared" si="95"/>
        <v>0</v>
      </c>
      <c r="O146" s="218">
        <v>0</v>
      </c>
      <c r="P146" s="219">
        <v>0</v>
      </c>
      <c r="Q146" s="219">
        <v>0</v>
      </c>
      <c r="R146" s="219">
        <v>0</v>
      </c>
      <c r="S146" s="219">
        <v>0</v>
      </c>
      <c r="T146" s="219">
        <v>0</v>
      </c>
      <c r="U146" s="219">
        <v>0</v>
      </c>
      <c r="V146" s="219">
        <v>0</v>
      </c>
      <c r="W146" s="219">
        <v>0</v>
      </c>
      <c r="X146" s="219">
        <v>0</v>
      </c>
      <c r="Y146" s="253">
        <v>0</v>
      </c>
      <c r="Z146" s="182">
        <f t="shared" si="89"/>
        <v>0</v>
      </c>
      <c r="AA146" s="184">
        <f t="shared" si="90"/>
        <v>0</v>
      </c>
      <c r="AB146" s="795">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796">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069">
        <f t="shared" si="96"/>
        <v>0</v>
      </c>
      <c r="AE146" s="784">
        <f t="shared" si="102"/>
        <v>0</v>
      </c>
      <c r="AF146" s="784">
        <f t="shared" si="103"/>
        <v>0</v>
      </c>
      <c r="AG146" s="784">
        <f t="shared" si="104"/>
        <v>0</v>
      </c>
      <c r="AH146" s="1015">
        <f t="shared" si="100"/>
        <v>0</v>
      </c>
      <c r="AI146" s="784">
        <f t="shared" si="101"/>
        <v>0</v>
      </c>
    </row>
    <row r="147" spans="1:35" x14ac:dyDescent="0.2">
      <c r="A147" s="201">
        <v>2026</v>
      </c>
      <c r="B147" s="214">
        <v>0</v>
      </c>
      <c r="C147" s="215">
        <v>0</v>
      </c>
      <c r="D147" s="215">
        <v>2.6648988272569106E-4</v>
      </c>
      <c r="E147" s="215">
        <v>3.4511772046797854E-3</v>
      </c>
      <c r="F147" s="215">
        <v>8.3682778667885042E-3</v>
      </c>
      <c r="G147" s="215">
        <v>1.2342364335445517E-2</v>
      </c>
      <c r="H147" s="215">
        <v>1.5906891626531031E-2</v>
      </c>
      <c r="I147" s="215">
        <v>1.7875288342032669E-2</v>
      </c>
      <c r="J147" s="215">
        <v>1.9272400418409129E-2</v>
      </c>
      <c r="K147" s="215">
        <v>2.0303178794339412E-2</v>
      </c>
      <c r="L147" s="251">
        <v>2.1408611040944249E-2</v>
      </c>
      <c r="M147" s="154">
        <f t="shared" si="94"/>
        <v>6.4155097761408085E-3</v>
      </c>
      <c r="N147" s="156">
        <f t="shared" si="95"/>
        <v>3.9425465913444499E-3</v>
      </c>
      <c r="O147" s="214">
        <v>0</v>
      </c>
      <c r="P147" s="215">
        <v>0</v>
      </c>
      <c r="Q147" s="215">
        <v>6.1695783593185348E-4</v>
      </c>
      <c r="R147" s="215">
        <v>4.8673633617539267E-3</v>
      </c>
      <c r="S147" s="215">
        <v>9.2192092806138957E-3</v>
      </c>
      <c r="T147" s="215">
        <v>1.3867122202363604E-2</v>
      </c>
      <c r="U147" s="215">
        <v>1.5906891626531031E-2</v>
      </c>
      <c r="V147" s="215">
        <v>1.7875288342032669E-2</v>
      </c>
      <c r="W147" s="215">
        <v>1.9919626606511226E-2</v>
      </c>
      <c r="X147" s="215">
        <v>2.0882843259396239E-2</v>
      </c>
      <c r="Y147" s="251">
        <v>2.1704893009147127E-2</v>
      </c>
      <c r="Z147" s="154">
        <f t="shared" si="89"/>
        <v>3.6995287173782437E-3</v>
      </c>
      <c r="AA147" s="156">
        <f t="shared" si="90"/>
        <v>2.5022100907433581E-3</v>
      </c>
      <c r="AB147" s="795">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796">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069">
        <f t="shared" si="96"/>
        <v>0</v>
      </c>
      <c r="AE147" s="784">
        <f t="shared" si="102"/>
        <v>6.4155097761408085E-3</v>
      </c>
      <c r="AF147" s="784">
        <f t="shared" si="103"/>
        <v>3.6995287173782437E-3</v>
      </c>
      <c r="AG147" s="784">
        <f t="shared" si="104"/>
        <v>1.0115038493519052E-2</v>
      </c>
      <c r="AH147" s="1015">
        <f t="shared" si="100"/>
        <v>0.63425460815115831</v>
      </c>
      <c r="AI147" s="784">
        <f t="shared" si="101"/>
        <v>0.36574539184884175</v>
      </c>
    </row>
    <row r="148" spans="1:35" x14ac:dyDescent="0.2">
      <c r="A148" s="202">
        <v>2027</v>
      </c>
      <c r="B148" s="216">
        <v>0</v>
      </c>
      <c r="C148" s="217">
        <v>0</v>
      </c>
      <c r="D148" s="217">
        <v>1.4388881927093083E-4</v>
      </c>
      <c r="E148" s="217">
        <v>4.3695000854729726E-3</v>
      </c>
      <c r="F148" s="217">
        <v>1.3055268651397344E-2</v>
      </c>
      <c r="G148" s="217">
        <v>2.2422632012782977E-2</v>
      </c>
      <c r="H148" s="217">
        <v>3.244496941831989E-2</v>
      </c>
      <c r="I148" s="217">
        <v>3.8215413415028363E-2</v>
      </c>
      <c r="J148" s="217">
        <v>4.3113940489697238E-2</v>
      </c>
      <c r="K148" s="217">
        <v>4.6733388598192718E-2</v>
      </c>
      <c r="L148" s="252">
        <v>5.0911076501192719E-2</v>
      </c>
      <c r="M148" s="168">
        <f t="shared" si="94"/>
        <v>1.2699125243126884E-2</v>
      </c>
      <c r="N148" s="170">
        <f t="shared" si="95"/>
        <v>7.4183081838980602E-3</v>
      </c>
      <c r="O148" s="216">
        <v>0</v>
      </c>
      <c r="P148" s="217">
        <v>0</v>
      </c>
      <c r="Q148" s="217">
        <v>4.366251657276819E-4</v>
      </c>
      <c r="R148" s="217">
        <v>6.1081979761492223E-3</v>
      </c>
      <c r="S148" s="217">
        <v>1.5547853293899065E-2</v>
      </c>
      <c r="T148" s="217">
        <v>2.7612556952519091E-2</v>
      </c>
      <c r="U148" s="217">
        <v>3.435783996568452E-2</v>
      </c>
      <c r="V148" s="217">
        <v>3.9319045986598966E-2</v>
      </c>
      <c r="W148" s="217">
        <v>4.5710743745441436E-2</v>
      </c>
      <c r="X148" s="217">
        <v>4.8439288149257145E-2</v>
      </c>
      <c r="Y148" s="252">
        <v>5.156187724883745E-2</v>
      </c>
      <c r="Z148" s="168">
        <f t="shared" si="89"/>
        <v>7.2878882889037761E-3</v>
      </c>
      <c r="AA148" s="170">
        <f t="shared" si="90"/>
        <v>4.6743658549417231E-3</v>
      </c>
      <c r="AB148" s="795">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796">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069">
        <f t="shared" si="96"/>
        <v>0</v>
      </c>
      <c r="AE148" s="784">
        <f t="shared" si="102"/>
        <v>1.2699125243126884E-2</v>
      </c>
      <c r="AF148" s="784">
        <f t="shared" si="103"/>
        <v>7.2878882889037761E-3</v>
      </c>
      <c r="AG148" s="784">
        <f t="shared" si="104"/>
        <v>1.9987013532030661E-2</v>
      </c>
      <c r="AH148" s="1015">
        <f t="shared" si="100"/>
        <v>0.63536882199912459</v>
      </c>
      <c r="AI148" s="784">
        <f t="shared" si="101"/>
        <v>0.36463117800087536</v>
      </c>
    </row>
    <row r="149" spans="1:35" x14ac:dyDescent="0.2">
      <c r="A149" s="202">
        <v>2028</v>
      </c>
      <c r="B149" s="216">
        <v>0</v>
      </c>
      <c r="C149" s="217">
        <v>0</v>
      </c>
      <c r="D149" s="217">
        <v>1.8353698712078802E-3</v>
      </c>
      <c r="E149" s="217">
        <v>1.9428687741140656E-2</v>
      </c>
      <c r="F149" s="217">
        <v>4.4693366062156702E-2</v>
      </c>
      <c r="G149" s="217">
        <v>6.6339211343529755E-2</v>
      </c>
      <c r="H149" s="217">
        <v>8.610280649501667E-2</v>
      </c>
      <c r="I149" s="217">
        <v>9.8907709334756302E-2</v>
      </c>
      <c r="J149" s="217">
        <v>0.10692339853780206</v>
      </c>
      <c r="K149" s="217">
        <v>0.11277679111408145</v>
      </c>
      <c r="L149" s="252">
        <v>0.11928791006987882</v>
      </c>
      <c r="M149" s="168">
        <f t="shared" si="94"/>
        <v>3.5085819950226277E-2</v>
      </c>
      <c r="N149" s="170">
        <f t="shared" si="95"/>
        <v>2.1524975889714013E-2</v>
      </c>
      <c r="O149" s="216">
        <v>0</v>
      </c>
      <c r="P149" s="217">
        <v>0</v>
      </c>
      <c r="Q149" s="217">
        <v>3.612802995578502E-3</v>
      </c>
      <c r="R149" s="217">
        <v>2.5995698132408679E-2</v>
      </c>
      <c r="S149" s="217">
        <v>5.191732307489997E-2</v>
      </c>
      <c r="T149" s="217">
        <v>7.7411386261422965E-2</v>
      </c>
      <c r="U149" s="217">
        <v>9.0431580779742754E-2</v>
      </c>
      <c r="V149" s="217">
        <v>9.8907709334756302E-2</v>
      </c>
      <c r="W149" s="217">
        <v>0.11067051043550971</v>
      </c>
      <c r="X149" s="217">
        <v>0.11617322254447371</v>
      </c>
      <c r="Y149" s="252">
        <v>0.12208031768945864</v>
      </c>
      <c r="Z149" s="168">
        <f t="shared" si="89"/>
        <v>2.0697592056164619E-2</v>
      </c>
      <c r="AA149" s="170">
        <f t="shared" si="90"/>
        <v>1.3975699708084932E-2</v>
      </c>
      <c r="AB149" s="795">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796">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069">
        <f t="shared" si="96"/>
        <v>0</v>
      </c>
      <c r="AE149" s="784">
        <f t="shared" si="102"/>
        <v>3.5085819950226277E-2</v>
      </c>
      <c r="AF149" s="784">
        <f t="shared" si="103"/>
        <v>2.0697592056164619E-2</v>
      </c>
      <c r="AG149" s="784">
        <f t="shared" si="104"/>
        <v>5.5783412006390892E-2</v>
      </c>
      <c r="AH149" s="1015">
        <f t="shared" si="100"/>
        <v>0.6289651114601349</v>
      </c>
      <c r="AI149" s="784">
        <f t="shared" si="101"/>
        <v>0.3710348885398651</v>
      </c>
    </row>
    <row r="150" spans="1:35" x14ac:dyDescent="0.2">
      <c r="A150" s="202">
        <v>2029</v>
      </c>
      <c r="B150" s="216">
        <v>0</v>
      </c>
      <c r="C150" s="217">
        <v>0</v>
      </c>
      <c r="D150" s="217">
        <v>6.8694779887295606E-3</v>
      </c>
      <c r="E150" s="217">
        <v>5.14503799720058E-2</v>
      </c>
      <c r="F150" s="217">
        <v>0.10352333068961089</v>
      </c>
      <c r="G150" s="217">
        <v>0.13897500332460325</v>
      </c>
      <c r="H150" s="217">
        <v>0.17589429943798685</v>
      </c>
      <c r="I150" s="217">
        <v>0.1912716159348376</v>
      </c>
      <c r="J150" s="217">
        <v>0.20944648244741007</v>
      </c>
      <c r="K150" s="217">
        <v>0.21575421802474404</v>
      </c>
      <c r="L150" s="252">
        <v>0.22672465166074451</v>
      </c>
      <c r="M150" s="168">
        <f t="shared" si="94"/>
        <v>7.2866258032005568E-2</v>
      </c>
      <c r="N150" s="170">
        <f t="shared" si="95"/>
        <v>4.6070787658019571E-2</v>
      </c>
      <c r="O150" s="216">
        <v>0</v>
      </c>
      <c r="P150" s="217">
        <v>0</v>
      </c>
      <c r="Q150" s="217">
        <v>1.2784784984435723E-2</v>
      </c>
      <c r="R150" s="217">
        <v>6.3199422459066554E-2</v>
      </c>
      <c r="S150" s="217">
        <v>0.11086210259550203</v>
      </c>
      <c r="T150" s="217">
        <v>0.15990857254290083</v>
      </c>
      <c r="U150" s="217">
        <v>0.17901493064471721</v>
      </c>
      <c r="V150" s="217">
        <v>0.19555024283196412</v>
      </c>
      <c r="W150" s="217">
        <v>0.21575421802474404</v>
      </c>
      <c r="X150" s="217">
        <v>0.22153870194467204</v>
      </c>
      <c r="Y150" s="252">
        <v>0.22943685052650484</v>
      </c>
      <c r="Z150" s="168">
        <f t="shared" si="89"/>
        <v>4.2767674941253123E-2</v>
      </c>
      <c r="AA150" s="170">
        <f t="shared" si="90"/>
        <v>2.9592683793810463E-2</v>
      </c>
      <c r="AB150" s="795">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796">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069">
        <f t="shared" si="96"/>
        <v>0</v>
      </c>
      <c r="AE150" s="784">
        <f t="shared" si="102"/>
        <v>7.2866258032005568E-2</v>
      </c>
      <c r="AF150" s="784">
        <f t="shared" si="103"/>
        <v>4.2767674941253123E-2</v>
      </c>
      <c r="AG150" s="784">
        <f t="shared" si="104"/>
        <v>0.11563393297325869</v>
      </c>
      <c r="AH150" s="1015">
        <f t="shared" si="100"/>
        <v>0.63014598014975842</v>
      </c>
      <c r="AI150" s="784">
        <f t="shared" si="101"/>
        <v>0.36985401985024158</v>
      </c>
    </row>
    <row r="151" spans="1:35" ht="13.5" thickBot="1" x14ac:dyDescent="0.25">
      <c r="A151" s="200">
        <v>2030</v>
      </c>
      <c r="B151" s="218">
        <v>0</v>
      </c>
      <c r="C151" s="219">
        <v>0</v>
      </c>
      <c r="D151" s="219">
        <v>2.3771709530578774E-2</v>
      </c>
      <c r="E151" s="219">
        <v>0.10623660360018501</v>
      </c>
      <c r="F151" s="219">
        <v>0.18415386387173088</v>
      </c>
      <c r="G151" s="219">
        <v>0.23816781734186018</v>
      </c>
      <c r="H151" s="219">
        <v>0.27923849150153751</v>
      </c>
      <c r="I151" s="219">
        <v>0.30006158580197706</v>
      </c>
      <c r="J151" s="219">
        <v>0.314980646176233</v>
      </c>
      <c r="K151" s="219">
        <v>0.32647462537408678</v>
      </c>
      <c r="L151" s="253">
        <v>0.33757865840445067</v>
      </c>
      <c r="M151" s="182">
        <f t="shared" si="94"/>
        <v>0.12043547042714958</v>
      </c>
      <c r="N151" s="184">
        <f t="shared" si="95"/>
        <v>7.8864751312760453E-2</v>
      </c>
      <c r="O151" s="218">
        <v>0</v>
      </c>
      <c r="P151" s="219">
        <v>1.3059017201071628E-4</v>
      </c>
      <c r="Q151" s="219">
        <v>3.6580573747769976E-2</v>
      </c>
      <c r="R151" s="219">
        <v>0.13077121741246175</v>
      </c>
      <c r="S151" s="219">
        <v>0.20289053335879645</v>
      </c>
      <c r="T151" s="219">
        <v>0.25678909296462138</v>
      </c>
      <c r="U151" s="219">
        <v>0.27923849150153751</v>
      </c>
      <c r="V151" s="219">
        <v>0.30577196537081569</v>
      </c>
      <c r="W151" s="219">
        <v>0.32342542811030284</v>
      </c>
      <c r="X151" s="219">
        <v>0.33099640580379047</v>
      </c>
      <c r="Y151" s="253">
        <v>0.34100569790581925</v>
      </c>
      <c r="Z151" s="182">
        <f t="shared" si="89"/>
        <v>7.2088648338754543E-2</v>
      </c>
      <c r="AA151" s="184">
        <f t="shared" si="90"/>
        <v>5.1838730209402321E-2</v>
      </c>
      <c r="AB151" s="795">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796">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069">
        <f t="shared" si="96"/>
        <v>0</v>
      </c>
      <c r="AE151" s="784">
        <f t="shared" si="102"/>
        <v>0.12043547042714958</v>
      </c>
      <c r="AF151" s="784">
        <f t="shared" si="103"/>
        <v>7.2088648338754543E-2</v>
      </c>
      <c r="AG151" s="784">
        <f t="shared" si="104"/>
        <v>0.19252411876590414</v>
      </c>
      <c r="AH151" s="1015">
        <f t="shared" si="100"/>
        <v>0.62556042951475965</v>
      </c>
      <c r="AI151" s="784">
        <f t="shared" si="101"/>
        <v>0.37443957048524035</v>
      </c>
    </row>
    <row r="152" spans="1:35" x14ac:dyDescent="0.2">
      <c r="A152" s="201">
        <v>2031</v>
      </c>
      <c r="B152" s="214">
        <v>0</v>
      </c>
      <c r="C152" s="215">
        <v>0</v>
      </c>
      <c r="D152" s="215">
        <v>4.9033635781606071E-2</v>
      </c>
      <c r="E152" s="215">
        <v>0.16145290204979124</v>
      </c>
      <c r="F152" s="215">
        <v>0.25816388050041289</v>
      </c>
      <c r="G152" s="215">
        <v>0.31437425371834937</v>
      </c>
      <c r="H152" s="215">
        <v>0.34872612319681717</v>
      </c>
      <c r="I152" s="215">
        <v>0.37889354827384164</v>
      </c>
      <c r="J152" s="215">
        <v>0.39271972100958052</v>
      </c>
      <c r="K152" s="215">
        <v>0.4029221567616218</v>
      </c>
      <c r="L152" s="251">
        <v>0.41265678996186594</v>
      </c>
      <c r="M152" s="154">
        <f t="shared" si="94"/>
        <v>0.158599724889156</v>
      </c>
      <c r="N152" s="156">
        <f t="shared" si="95"/>
        <v>0.10682079172893734</v>
      </c>
      <c r="O152" s="214">
        <v>0</v>
      </c>
      <c r="P152" s="215">
        <v>9.6099082181926412E-4</v>
      </c>
      <c r="Q152" s="215">
        <v>7.1963213065490944E-2</v>
      </c>
      <c r="R152" s="215">
        <v>0.19468861776521079</v>
      </c>
      <c r="S152" s="215">
        <v>0.27233779840330313</v>
      </c>
      <c r="T152" s="215">
        <v>0.33589871264926213</v>
      </c>
      <c r="U152" s="215">
        <v>0.36094708745819976</v>
      </c>
      <c r="V152" s="215">
        <v>0.37889354827384164</v>
      </c>
      <c r="W152" s="215">
        <v>0.3981591322682288</v>
      </c>
      <c r="X152" s="215">
        <v>0.40607702569312093</v>
      </c>
      <c r="Y152" s="251">
        <v>0.41606987075812452</v>
      </c>
      <c r="Z152" s="154">
        <f t="shared" si="89"/>
        <v>9.5987099590775782E-2</v>
      </c>
      <c r="AA152" s="156">
        <f t="shared" si="90"/>
        <v>7.0863151220399476E-2</v>
      </c>
      <c r="AB152" s="795">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796">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069">
        <f t="shared" si="96"/>
        <v>0</v>
      </c>
      <c r="AE152" s="784">
        <f t="shared" si="102"/>
        <v>0.158599724889156</v>
      </c>
      <c r="AF152" s="784">
        <f t="shared" si="103"/>
        <v>9.5987099590775782E-2</v>
      </c>
      <c r="AG152" s="784">
        <f t="shared" si="104"/>
        <v>0.25458682447993175</v>
      </c>
      <c r="AH152" s="1015">
        <f t="shared" si="100"/>
        <v>0.62296909988622717</v>
      </c>
      <c r="AI152" s="784">
        <f t="shared" si="101"/>
        <v>0.37703090011377288</v>
      </c>
    </row>
    <row r="153" spans="1:35" x14ac:dyDescent="0.2">
      <c r="A153" s="202">
        <v>2032</v>
      </c>
      <c r="B153" s="216">
        <v>0</v>
      </c>
      <c r="C153" s="217">
        <v>4.3446312230653388E-4</v>
      </c>
      <c r="D153" s="217">
        <v>7.0407291695344085E-2</v>
      </c>
      <c r="E153" s="217">
        <v>0.2012323280866925</v>
      </c>
      <c r="F153" s="217">
        <v>0.29418637769140565</v>
      </c>
      <c r="G153" s="217">
        <v>0.35419735117716117</v>
      </c>
      <c r="H153" s="217">
        <v>0.38990451246340119</v>
      </c>
      <c r="I153" s="217">
        <v>0.41380598921802536</v>
      </c>
      <c r="J153" s="217">
        <v>0.43010198183988291</v>
      </c>
      <c r="K153" s="217">
        <v>0.43865510435723909</v>
      </c>
      <c r="L153" s="252">
        <v>0.4494000322985176</v>
      </c>
      <c r="M153" s="168">
        <f t="shared" si="94"/>
        <v>0.1794072232718785</v>
      </c>
      <c r="N153" s="170">
        <f t="shared" si="95"/>
        <v>0.1228868387587439</v>
      </c>
      <c r="O153" s="216">
        <v>0</v>
      </c>
      <c r="P153" s="217">
        <v>2.3633859409144054E-3</v>
      </c>
      <c r="Q153" s="217">
        <v>0.1004344949384542</v>
      </c>
      <c r="R153" s="217">
        <v>0.22462848202734365</v>
      </c>
      <c r="S153" s="217">
        <v>0.3094784459110998</v>
      </c>
      <c r="T153" s="217">
        <v>0.37670310015201758</v>
      </c>
      <c r="U153" s="217">
        <v>0.40231796187427549</v>
      </c>
      <c r="V153" s="217">
        <v>0.42026409739622933</v>
      </c>
      <c r="W153" s="217">
        <v>0.43865510435723909</v>
      </c>
      <c r="X153" s="217">
        <v>0.44576274499196911</v>
      </c>
      <c r="Y153" s="252">
        <v>0.45109584918135837</v>
      </c>
      <c r="Z153" s="168">
        <f t="shared" si="89"/>
        <v>0.10868924863704589</v>
      </c>
      <c r="AA153" s="170">
        <f t="shared" si="90"/>
        <v>8.1273732657925049E-2</v>
      </c>
      <c r="AB153" s="795">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796">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069">
        <f t="shared" si="96"/>
        <v>0</v>
      </c>
      <c r="AE153" s="784">
        <f t="shared" si="102"/>
        <v>0.1794072232718785</v>
      </c>
      <c r="AF153" s="784">
        <f t="shared" si="103"/>
        <v>0.10868924863704589</v>
      </c>
      <c r="AG153" s="784">
        <f t="shared" si="104"/>
        <v>0.2880964719089244</v>
      </c>
      <c r="AH153" s="1015">
        <f t="shared" si="100"/>
        <v>0.62273314936183699</v>
      </c>
      <c r="AI153" s="784">
        <f t="shared" si="101"/>
        <v>0.37726685063816295</v>
      </c>
    </row>
    <row r="154" spans="1:35" x14ac:dyDescent="0.2">
      <c r="A154" s="202">
        <v>2033</v>
      </c>
      <c r="B154" s="216">
        <v>0</v>
      </c>
      <c r="C154" s="217">
        <v>9.0770450018854212E-4</v>
      </c>
      <c r="D154" s="217">
        <v>8.8206250953131921E-2</v>
      </c>
      <c r="E154" s="217">
        <v>0.23141016538839981</v>
      </c>
      <c r="F154" s="217">
        <v>0.31882168825296658</v>
      </c>
      <c r="G154" s="217">
        <v>0.37380094119738622</v>
      </c>
      <c r="H154" s="217">
        <v>0.41446392118969783</v>
      </c>
      <c r="I154" s="217">
        <v>0.43295179755831037</v>
      </c>
      <c r="J154" s="217">
        <v>0.44651471281944444</v>
      </c>
      <c r="K154" s="217">
        <v>0.45648568269355322</v>
      </c>
      <c r="L154" s="252">
        <v>0.46449129478812823</v>
      </c>
      <c r="M154" s="168">
        <f t="shared" si="94"/>
        <v>0.19221729911032179</v>
      </c>
      <c r="N154" s="170">
        <f t="shared" si="95"/>
        <v>0.13345393885704798</v>
      </c>
      <c r="O154" s="216">
        <v>0</v>
      </c>
      <c r="P154" s="217">
        <v>3.8590460597146331E-3</v>
      </c>
      <c r="Q154" s="217">
        <v>0.11614251319102332</v>
      </c>
      <c r="R154" s="217">
        <v>0.24651603073395753</v>
      </c>
      <c r="S154" s="217">
        <v>0.33445202410795566</v>
      </c>
      <c r="T154" s="217">
        <v>0.38807577006418126</v>
      </c>
      <c r="U154" s="217">
        <v>0.41446392118969783</v>
      </c>
      <c r="V154" s="217">
        <v>0.43295179755831037</v>
      </c>
      <c r="W154" s="217">
        <v>0.45189800675395198</v>
      </c>
      <c r="X154" s="217">
        <v>0.45918137335959114</v>
      </c>
      <c r="Y154" s="252">
        <v>0.46698239696295574</v>
      </c>
      <c r="Z154" s="168">
        <f t="shared" si="89"/>
        <v>0.11497137294931808</v>
      </c>
      <c r="AA154" s="170">
        <f t="shared" si="90"/>
        <v>8.6891305309723985E-2</v>
      </c>
      <c r="AB154" s="795">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796">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069">
        <f>AB154*AH154+AC154*AI154</f>
        <v>0</v>
      </c>
      <c r="AE154" s="784">
        <f t="shared" si="102"/>
        <v>0.19221729911032179</v>
      </c>
      <c r="AF154" s="784">
        <f t="shared" si="103"/>
        <v>0.11497137294931808</v>
      </c>
      <c r="AG154" s="784">
        <f t="shared" si="104"/>
        <v>0.30718867205963984</v>
      </c>
      <c r="AH154" s="1015">
        <f t="shared" si="100"/>
        <v>0.62573042756278241</v>
      </c>
      <c r="AI154" s="784">
        <f t="shared" si="101"/>
        <v>0.3742695724372177</v>
      </c>
    </row>
    <row r="155" spans="1:35" x14ac:dyDescent="0.2">
      <c r="A155" s="202">
        <v>2034</v>
      </c>
      <c r="B155" s="216">
        <v>0</v>
      </c>
      <c r="C155" s="217">
        <v>1.283187957101027E-3</v>
      </c>
      <c r="D155" s="217">
        <v>9.7996712014952053E-2</v>
      </c>
      <c r="E155" s="217">
        <v>0.23398888486540484</v>
      </c>
      <c r="F155" s="217">
        <v>0.32237428781037164</v>
      </c>
      <c r="G155" s="217">
        <v>0.37796602431519954</v>
      </c>
      <c r="H155" s="217">
        <v>0.41908203596355292</v>
      </c>
      <c r="I155" s="217">
        <v>0.43777582718367308</v>
      </c>
      <c r="J155" s="217">
        <v>0.45693310777997237</v>
      </c>
      <c r="K155" s="217">
        <v>0.46433688420744285</v>
      </c>
      <c r="L155" s="252">
        <v>0.46918833358776652</v>
      </c>
      <c r="M155" s="168">
        <f t="shared" si="94"/>
        <v>0.19510531702220307</v>
      </c>
      <c r="N155" s="170">
        <f t="shared" si="95"/>
        <v>0.13587606813956332</v>
      </c>
      <c r="O155" s="216">
        <v>0</v>
      </c>
      <c r="P155" s="217">
        <v>5.2099951210977042E-3</v>
      </c>
      <c r="Q155" s="217">
        <v>0.12488658377641011</v>
      </c>
      <c r="R155" s="217">
        <v>0.26482630125307211</v>
      </c>
      <c r="S155" s="217">
        <v>0.34757939029385404</v>
      </c>
      <c r="T155" s="217">
        <v>0.40615136427977888</v>
      </c>
      <c r="U155" s="217">
        <v>0.42634529233696544</v>
      </c>
      <c r="V155" s="217">
        <v>0.44190305866024937</v>
      </c>
      <c r="W155" s="217">
        <v>0.45693310777997237</v>
      </c>
      <c r="X155" s="217">
        <v>0.46419196556281295</v>
      </c>
      <c r="Y155" s="252">
        <v>0.47147297450889303</v>
      </c>
      <c r="Z155" s="168">
        <f t="shared" si="89"/>
        <v>0.11959117083013641</v>
      </c>
      <c r="AA155" s="170">
        <f t="shared" si="90"/>
        <v>9.0960727234307481E-2</v>
      </c>
      <c r="AB155" s="795">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796">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069">
        <f t="shared" ref="AD155:AD171" si="105">AB155*AH155+AC155*AI155</f>
        <v>0</v>
      </c>
      <c r="AE155" s="784">
        <f t="shared" si="102"/>
        <v>0.19510531702220307</v>
      </c>
      <c r="AF155" s="784">
        <f t="shared" si="103"/>
        <v>0.11959117083013641</v>
      </c>
      <c r="AG155" s="784">
        <f t="shared" si="104"/>
        <v>0.3146964878523395</v>
      </c>
      <c r="AH155" s="1015">
        <f t="shared" si="100"/>
        <v>0.61997932787146171</v>
      </c>
      <c r="AI155" s="784">
        <f t="shared" si="101"/>
        <v>0.38002067212853818</v>
      </c>
    </row>
    <row r="156" spans="1:35" ht="13.5" thickBot="1" x14ac:dyDescent="0.25">
      <c r="A156" s="200">
        <v>2035</v>
      </c>
      <c r="B156" s="218">
        <v>0</v>
      </c>
      <c r="C156" s="219">
        <v>1.7820762356727908E-3</v>
      </c>
      <c r="D156" s="219">
        <v>0.10502991681129371</v>
      </c>
      <c r="E156" s="219">
        <v>0.25023957011256581</v>
      </c>
      <c r="F156" s="219">
        <v>0.33950339486906062</v>
      </c>
      <c r="G156" s="219">
        <v>0.3939367374258857</v>
      </c>
      <c r="H156" s="219">
        <v>0.42801496824600399</v>
      </c>
      <c r="I156" s="219">
        <v>0.44363369362407301</v>
      </c>
      <c r="J156" s="219">
        <v>0.45872252408785885</v>
      </c>
      <c r="K156" s="219">
        <v>0.4660926778075612</v>
      </c>
      <c r="L156" s="253">
        <v>0.47300975816176788</v>
      </c>
      <c r="M156" s="182">
        <f t="shared" si="94"/>
        <v>0.20155052395818204</v>
      </c>
      <c r="N156" s="184">
        <f t="shared" si="95"/>
        <v>0.14145558693788013</v>
      </c>
      <c r="O156" s="218">
        <v>0</v>
      </c>
      <c r="P156" s="219">
        <v>6.0717577938959252E-3</v>
      </c>
      <c r="Q156" s="219">
        <v>0.13647409857147078</v>
      </c>
      <c r="R156" s="219">
        <v>0.27570009422178776</v>
      </c>
      <c r="S156" s="219">
        <v>0.35513158233155495</v>
      </c>
      <c r="T156" s="219">
        <v>0.40774204644801859</v>
      </c>
      <c r="U156" s="219">
        <v>0.42801496824600399</v>
      </c>
      <c r="V156" s="219">
        <v>0.44977815858525727</v>
      </c>
      <c r="W156" s="219">
        <v>0.46331677073883309</v>
      </c>
      <c r="X156" s="219">
        <v>0.46959798914316081</v>
      </c>
      <c r="Y156" s="253">
        <v>0.4717016131232058</v>
      </c>
      <c r="Z156" s="182">
        <f t="shared" si="89"/>
        <v>0.12189974035954915</v>
      </c>
      <c r="AA156" s="184">
        <f t="shared" si="90"/>
        <v>9.3307927892882558E-2</v>
      </c>
      <c r="AB156" s="795">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796">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069">
        <f t="shared" si="105"/>
        <v>0</v>
      </c>
      <c r="AE156" s="784">
        <f t="shared" si="102"/>
        <v>0.20155052395818204</v>
      </c>
      <c r="AF156" s="784">
        <f t="shared" si="103"/>
        <v>0.12189974035954915</v>
      </c>
      <c r="AG156" s="784">
        <f t="shared" si="104"/>
        <v>0.32345026431773116</v>
      </c>
      <c r="AH156" s="1015">
        <f t="shared" si="100"/>
        <v>0.62312678699868129</v>
      </c>
      <c r="AI156" s="784">
        <f t="shared" si="101"/>
        <v>0.37687321300131876</v>
      </c>
    </row>
    <row r="157" spans="1:35" x14ac:dyDescent="0.2">
      <c r="A157" s="201">
        <v>2036</v>
      </c>
      <c r="B157" s="214">
        <v>0</v>
      </c>
      <c r="C157" s="215">
        <v>2.8647515150747593E-3</v>
      </c>
      <c r="D157" s="215">
        <v>0.11499459910154443</v>
      </c>
      <c r="E157" s="215">
        <v>0.26015688430014955</v>
      </c>
      <c r="F157" s="215">
        <v>0.34923991058738973</v>
      </c>
      <c r="G157" s="215">
        <v>0.39427417067083609</v>
      </c>
      <c r="H157" s="215">
        <v>0.4283809291173683</v>
      </c>
      <c r="I157" s="215">
        <v>0.4501625471744285</v>
      </c>
      <c r="J157" s="215">
        <v>0.45906944412417322</v>
      </c>
      <c r="K157" s="215">
        <v>0.46618806613739855</v>
      </c>
      <c r="L157" s="251">
        <v>0.47102981693652268</v>
      </c>
      <c r="M157" s="154">
        <f t="shared" si="94"/>
        <v>0.20468737776818127</v>
      </c>
      <c r="N157" s="156">
        <f t="shared" si="95"/>
        <v>0.14468731221731121</v>
      </c>
      <c r="O157" s="214">
        <v>0</v>
      </c>
      <c r="P157" s="215">
        <v>9.2087161081737239E-3</v>
      </c>
      <c r="Q157" s="215">
        <v>0.14448607003355918</v>
      </c>
      <c r="R157" s="215">
        <v>0.28194434393459455</v>
      </c>
      <c r="S157" s="215">
        <v>0.36471718566120381</v>
      </c>
      <c r="T157" s="215">
        <v>0.41585699225174982</v>
      </c>
      <c r="U157" s="215">
        <v>0.43986593871965018</v>
      </c>
      <c r="V157" s="215">
        <v>0.4501625471744285</v>
      </c>
      <c r="W157" s="215">
        <v>0.46618806613739855</v>
      </c>
      <c r="X157" s="215">
        <v>0.46896733901819759</v>
      </c>
      <c r="Y157" s="251">
        <v>0.46841524019856751</v>
      </c>
      <c r="Z157" s="154">
        <f t="shared" si="89"/>
        <v>0.1246096620701802</v>
      </c>
      <c r="AA157" s="156">
        <f t="shared" si="90"/>
        <v>9.5848569104366704E-2</v>
      </c>
      <c r="AB157" s="795">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796">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069">
        <f t="shared" si="105"/>
        <v>0</v>
      </c>
      <c r="AE157" s="784">
        <f t="shared" si="102"/>
        <v>0.20468737776818127</v>
      </c>
      <c r="AF157" s="784">
        <f t="shared" si="103"/>
        <v>0.1246096620701802</v>
      </c>
      <c r="AG157" s="784">
        <f t="shared" si="104"/>
        <v>0.32929703983836145</v>
      </c>
      <c r="AH157" s="1015">
        <f t="shared" si="100"/>
        <v>0.62158887874805679</v>
      </c>
      <c r="AI157" s="784">
        <f t="shared" si="101"/>
        <v>0.37841112125194332</v>
      </c>
    </row>
    <row r="158" spans="1:35" x14ac:dyDescent="0.2">
      <c r="A158" s="202">
        <v>2037</v>
      </c>
      <c r="B158" s="216">
        <v>0</v>
      </c>
      <c r="C158" s="217">
        <v>3.8600571025292772E-3</v>
      </c>
      <c r="D158" s="217">
        <v>0.12210980104289892</v>
      </c>
      <c r="E158" s="217">
        <v>0.26613135682804312</v>
      </c>
      <c r="F158" s="217">
        <v>0.34928926643899277</v>
      </c>
      <c r="G158" s="217">
        <v>0.40249504384126161</v>
      </c>
      <c r="H158" s="217">
        <v>0.4284408280052015</v>
      </c>
      <c r="I158" s="217">
        <v>0.45022537642590998</v>
      </c>
      <c r="J158" s="217">
        <v>0.46370327782381809</v>
      </c>
      <c r="K158" s="217">
        <v>0.46566538596440671</v>
      </c>
      <c r="L158" s="252">
        <v>0.46832162049539999</v>
      </c>
      <c r="M158" s="168">
        <f t="shared" si="94"/>
        <v>0.20627645039054224</v>
      </c>
      <c r="N158" s="170">
        <f t="shared" si="95"/>
        <v>0.14642255246264105</v>
      </c>
      <c r="O158" s="216">
        <v>0</v>
      </c>
      <c r="P158" s="217">
        <v>1.0376559801833043E-2</v>
      </c>
      <c r="Q158" s="217">
        <v>0.15661553559511918</v>
      </c>
      <c r="R158" s="217">
        <v>0.29192639588040009</v>
      </c>
      <c r="S158" s="217">
        <v>0.36476866822294735</v>
      </c>
      <c r="T158" s="217">
        <v>0.4159151907958924</v>
      </c>
      <c r="U158" s="217">
        <v>0.43992738815429794</v>
      </c>
      <c r="V158" s="217">
        <v>0.45022537642590998</v>
      </c>
      <c r="W158" s="217">
        <v>0.4657986248126269</v>
      </c>
      <c r="X158" s="217">
        <v>0.46790271174462594</v>
      </c>
      <c r="Y158" s="252">
        <v>0.46552652041610781</v>
      </c>
      <c r="Z158" s="168">
        <f t="shared" si="89"/>
        <v>0.12574863487252075</v>
      </c>
      <c r="AA158" s="170">
        <f t="shared" si="90"/>
        <v>9.7361100659806479E-2</v>
      </c>
      <c r="AB158" s="795">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796">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069">
        <f t="shared" si="105"/>
        <v>0</v>
      </c>
      <c r="AE158" s="784">
        <f t="shared" si="102"/>
        <v>0.20627645039054224</v>
      </c>
      <c r="AF158" s="784">
        <f t="shared" si="103"/>
        <v>0.12574863487252075</v>
      </c>
      <c r="AG158" s="784">
        <f t="shared" si="104"/>
        <v>0.33202508526306296</v>
      </c>
      <c r="AH158" s="1015">
        <f t="shared" si="100"/>
        <v>0.62126766785440246</v>
      </c>
      <c r="AI158" s="784">
        <f t="shared" si="101"/>
        <v>0.37873233214559765</v>
      </c>
    </row>
    <row r="159" spans="1:35" x14ac:dyDescent="0.2">
      <c r="A159" s="202">
        <v>2038</v>
      </c>
      <c r="B159" s="216">
        <v>0</v>
      </c>
      <c r="C159" s="217">
        <v>5.1392187809710596E-3</v>
      </c>
      <c r="D159" s="217">
        <v>0.13294171316442491</v>
      </c>
      <c r="E159" s="217">
        <v>0.27584874274029719</v>
      </c>
      <c r="F159" s="217">
        <v>0.36459832233938111</v>
      </c>
      <c r="G159" s="217">
        <v>0.40230636941267567</v>
      </c>
      <c r="H159" s="217">
        <v>0.43972090521369395</v>
      </c>
      <c r="I159" s="217">
        <v>0.44997441626945361</v>
      </c>
      <c r="J159" s="217">
        <v>0.46299695127054619</v>
      </c>
      <c r="K159" s="217">
        <v>0.46792752842177404</v>
      </c>
      <c r="L159" s="252">
        <v>0.46381707737185873</v>
      </c>
      <c r="M159" s="168">
        <f t="shared" si="94"/>
        <v>0.21057517778562318</v>
      </c>
      <c r="N159" s="170">
        <f t="shared" si="95"/>
        <v>0.15063732867626969</v>
      </c>
      <c r="O159" s="216">
        <v>0</v>
      </c>
      <c r="P159" s="217">
        <v>1.4827042786706207E-2</v>
      </c>
      <c r="Q159" s="217">
        <v>0.16475568323445203</v>
      </c>
      <c r="R159" s="217">
        <v>0.30136514767385625</v>
      </c>
      <c r="S159" s="217">
        <v>0.37335238210638266</v>
      </c>
      <c r="T159" s="217">
        <v>0.42094547822640094</v>
      </c>
      <c r="U159" s="217">
        <v>0.43972090521369395</v>
      </c>
      <c r="V159" s="217">
        <v>0.45527797453366159</v>
      </c>
      <c r="W159" s="217">
        <v>0.46792752842177404</v>
      </c>
      <c r="X159" s="217">
        <v>0.4664076328793999</v>
      </c>
      <c r="Y159" s="252">
        <v>0.4605440285532032</v>
      </c>
      <c r="Z159" s="168">
        <f t="shared" si="89"/>
        <v>0.1278792394621385</v>
      </c>
      <c r="AA159" s="170">
        <f t="shared" si="90"/>
        <v>9.9688953810879985E-2</v>
      </c>
      <c r="AB159" s="795">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796">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069">
        <f t="shared" si="105"/>
        <v>0</v>
      </c>
      <c r="AE159" s="784">
        <f t="shared" si="102"/>
        <v>0.21057517778562318</v>
      </c>
      <c r="AF159" s="784">
        <f t="shared" si="103"/>
        <v>0.1278792394621385</v>
      </c>
      <c r="AG159" s="784">
        <f t="shared" si="104"/>
        <v>0.33845441724776171</v>
      </c>
      <c r="AH159" s="1015">
        <f t="shared" si="100"/>
        <v>0.6221670247295783</v>
      </c>
      <c r="AI159" s="784">
        <f t="shared" si="101"/>
        <v>0.37783297527042159</v>
      </c>
    </row>
    <row r="160" spans="1:35" x14ac:dyDescent="0.2">
      <c r="A160" s="202">
        <v>2039</v>
      </c>
      <c r="B160" s="216">
        <v>0</v>
      </c>
      <c r="C160" s="217">
        <v>7.6304999456470292E-3</v>
      </c>
      <c r="D160" s="217">
        <v>0.15214368273505854</v>
      </c>
      <c r="E160" s="217">
        <v>0.28508894285897657</v>
      </c>
      <c r="F160" s="217">
        <v>0.36425259038414548</v>
      </c>
      <c r="G160" s="217">
        <v>0.41532464070976172</v>
      </c>
      <c r="H160" s="217">
        <v>0.43930228571572733</v>
      </c>
      <c r="I160" s="217">
        <v>0.45455459704471207</v>
      </c>
      <c r="J160" s="217">
        <v>0.46073082952053568</v>
      </c>
      <c r="K160" s="217">
        <v>0.46303213132576537</v>
      </c>
      <c r="L160" s="252">
        <v>0.45527372811674588</v>
      </c>
      <c r="M160" s="168">
        <f t="shared" si="94"/>
        <v>0.21325533519257603</v>
      </c>
      <c r="N160" s="170">
        <f t="shared" si="95"/>
        <v>0.15403507792305043</v>
      </c>
      <c r="O160" s="216">
        <v>0</v>
      </c>
      <c r="P160" s="217">
        <v>1.9218917525212043E-2</v>
      </c>
      <c r="Q160" s="217">
        <v>0.17763127750040728</v>
      </c>
      <c r="R160" s="217">
        <v>0.31709664996559972</v>
      </c>
      <c r="S160" s="217">
        <v>0.37928737328188311</v>
      </c>
      <c r="T160" s="217">
        <v>0.42783227329234158</v>
      </c>
      <c r="U160" s="217">
        <v>0.44525497100526346</v>
      </c>
      <c r="V160" s="217">
        <v>0.45775921966212052</v>
      </c>
      <c r="W160" s="217">
        <v>0.46300515230620432</v>
      </c>
      <c r="X160" s="217">
        <v>0.46265267505570057</v>
      </c>
      <c r="Y160" s="252">
        <v>0.4508565470763487</v>
      </c>
      <c r="Z160" s="168">
        <f t="shared" si="89"/>
        <v>0.13052993965863896</v>
      </c>
      <c r="AA160" s="170">
        <f t="shared" si="90"/>
        <v>0.10267927981506692</v>
      </c>
      <c r="AB160" s="795">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796">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069">
        <f t="shared" si="105"/>
        <v>0</v>
      </c>
      <c r="AE160" s="784">
        <f t="shared" si="102"/>
        <v>0.21325533519257603</v>
      </c>
      <c r="AF160" s="784">
        <f t="shared" si="103"/>
        <v>0.13052993965863896</v>
      </c>
      <c r="AG160" s="784">
        <f t="shared" si="104"/>
        <v>0.34378527485121502</v>
      </c>
      <c r="AH160" s="1015">
        <f t="shared" si="100"/>
        <v>0.62031550154342607</v>
      </c>
      <c r="AI160" s="784">
        <f t="shared" si="101"/>
        <v>0.37968449845657382</v>
      </c>
    </row>
    <row r="161" spans="1:35" ht="13.5" thickBot="1" x14ac:dyDescent="0.25">
      <c r="A161" s="200">
        <v>2040</v>
      </c>
      <c r="B161" s="218">
        <v>0</v>
      </c>
      <c r="C161" s="219">
        <v>1.0972182353254423E-2</v>
      </c>
      <c r="D161" s="219">
        <v>0.15966627226451952</v>
      </c>
      <c r="E161" s="219">
        <v>0.30064434969008469</v>
      </c>
      <c r="F161" s="219">
        <v>0.3724557195092989</v>
      </c>
      <c r="G161" s="219">
        <v>0.41472077787039108</v>
      </c>
      <c r="H161" s="219">
        <v>0.44436453024996875</v>
      </c>
      <c r="I161" s="219">
        <v>0.45485868608583668</v>
      </c>
      <c r="J161" s="219">
        <v>0.4599580967275142</v>
      </c>
      <c r="K161" s="219">
        <v>0.45173804953861368</v>
      </c>
      <c r="L161" s="253">
        <v>0.43775314968724593</v>
      </c>
      <c r="M161" s="182">
        <f t="shared" si="94"/>
        <v>0.21583344819118327</v>
      </c>
      <c r="N161" s="184">
        <f t="shared" si="95"/>
        <v>0.15733056554195823</v>
      </c>
      <c r="O161" s="218">
        <v>0</v>
      </c>
      <c r="P161" s="219">
        <v>2.3980304612316684E-2</v>
      </c>
      <c r="Q161" s="219">
        <v>0.19965656152911307</v>
      </c>
      <c r="R161" s="219">
        <v>0.32577721790729092</v>
      </c>
      <c r="S161" s="219">
        <v>0.38720612878240457</v>
      </c>
      <c r="T161" s="219">
        <v>0.43372279898010024</v>
      </c>
      <c r="U161" s="219">
        <v>0.44367971814477308</v>
      </c>
      <c r="V161" s="219">
        <v>0.45306223159756265</v>
      </c>
      <c r="W161" s="219">
        <v>0.45071674528111177</v>
      </c>
      <c r="X161" s="219">
        <v>0.44312926157984983</v>
      </c>
      <c r="Y161" s="253">
        <v>0.42297847750019807</v>
      </c>
      <c r="Z161" s="182">
        <f t="shared" si="89"/>
        <v>0.13231992770069795</v>
      </c>
      <c r="AA161" s="184">
        <f t="shared" si="90"/>
        <v>0.10544749163051216</v>
      </c>
      <c r="AB161" s="795">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796">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069">
        <f t="shared" si="105"/>
        <v>0</v>
      </c>
      <c r="AE161" s="784">
        <f t="shared" si="102"/>
        <v>0.21583344819118327</v>
      </c>
      <c r="AF161" s="784">
        <f t="shared" si="103"/>
        <v>0.13231992770069795</v>
      </c>
      <c r="AG161" s="784">
        <f t="shared" si="104"/>
        <v>0.34815337589188122</v>
      </c>
      <c r="AH161" s="1015">
        <f t="shared" si="100"/>
        <v>0.61993782952203857</v>
      </c>
      <c r="AI161" s="784">
        <f t="shared" si="101"/>
        <v>0.38006217047796143</v>
      </c>
    </row>
    <row r="162" spans="1:35" x14ac:dyDescent="0.2">
      <c r="A162" s="201">
        <v>2041</v>
      </c>
      <c r="B162" s="214">
        <v>0</v>
      </c>
      <c r="C162" s="215">
        <v>1.5275314633638539E-2</v>
      </c>
      <c r="D162" s="215">
        <v>0.18004109202263707</v>
      </c>
      <c r="E162" s="215">
        <v>0.30919085379512629</v>
      </c>
      <c r="F162" s="215">
        <v>0.38643926276981733</v>
      </c>
      <c r="G162" s="215">
        <v>0.42063512265406872</v>
      </c>
      <c r="H162" s="215">
        <v>0.43916737096305702</v>
      </c>
      <c r="I162" s="215">
        <v>0.44552479274711199</v>
      </c>
      <c r="J162" s="215">
        <v>0.43500247469483971</v>
      </c>
      <c r="K162" s="215">
        <v>0.42500904463549843</v>
      </c>
      <c r="L162" s="251">
        <v>0.39287787746772257</v>
      </c>
      <c r="M162" s="154">
        <f t="shared" si="94"/>
        <v>0.21633764734926372</v>
      </c>
      <c r="N162" s="156">
        <f t="shared" si="95"/>
        <v>0.16055718094429425</v>
      </c>
      <c r="O162" s="214">
        <v>0</v>
      </c>
      <c r="P162" s="215">
        <v>3.2173466167428444E-2</v>
      </c>
      <c r="Q162" s="215">
        <v>0.20778351193286287</v>
      </c>
      <c r="R162" s="215">
        <v>0.34094366471031573</v>
      </c>
      <c r="S162" s="215">
        <v>0.3942853429532131</v>
      </c>
      <c r="T162" s="215">
        <v>0.4296095652652257</v>
      </c>
      <c r="U162" s="215">
        <v>0.44230795992053035</v>
      </c>
      <c r="V162" s="215">
        <v>0.43540536739022218</v>
      </c>
      <c r="W162" s="215">
        <v>0.4121687403269545</v>
      </c>
      <c r="X162" s="215">
        <v>0.39731497832481311</v>
      </c>
      <c r="Y162" s="251">
        <v>0.37328958644579524</v>
      </c>
      <c r="Z162" s="154">
        <f t="shared" si="89"/>
        <v>0.13240979550954379</v>
      </c>
      <c r="AA162" s="156">
        <f t="shared" si="90"/>
        <v>0.10716905612901449</v>
      </c>
      <c r="AB162" s="795">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796">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069">
        <f t="shared" si="105"/>
        <v>0</v>
      </c>
      <c r="AE162" s="784">
        <f t="shared" si="102"/>
        <v>0.21633764734926372</v>
      </c>
      <c r="AF162" s="784">
        <f t="shared" si="103"/>
        <v>0.13240979550954379</v>
      </c>
      <c r="AG162" s="784">
        <f t="shared" si="104"/>
        <v>0.34874744285880754</v>
      </c>
      <c r="AH162" s="1015">
        <f t="shared" si="100"/>
        <v>0.62032755158250519</v>
      </c>
      <c r="AI162" s="784">
        <f t="shared" si="101"/>
        <v>0.3796724484174947</v>
      </c>
    </row>
    <row r="163" spans="1:35" x14ac:dyDescent="0.2">
      <c r="A163" s="202">
        <v>2042</v>
      </c>
      <c r="B163" s="216">
        <v>0</v>
      </c>
      <c r="C163" s="217">
        <v>2.3324111644723124E-2</v>
      </c>
      <c r="D163" s="217">
        <v>0.20120832678386844</v>
      </c>
      <c r="E163" s="217">
        <v>0.3243422165970733</v>
      </c>
      <c r="F163" s="217">
        <v>0.39209689599056047</v>
      </c>
      <c r="G163" s="217">
        <v>0.42126128030548399</v>
      </c>
      <c r="H163" s="217">
        <v>0.41778573285719006</v>
      </c>
      <c r="I163" s="217">
        <v>0.39995337003783521</v>
      </c>
      <c r="J163" s="217">
        <v>0.38071098082688731</v>
      </c>
      <c r="K163" s="217">
        <v>0.36577333546172502</v>
      </c>
      <c r="L163" s="252">
        <v>0.34014246642747786</v>
      </c>
      <c r="M163" s="168">
        <f t="shared" si="94"/>
        <v>0.21065898418824844</v>
      </c>
      <c r="N163" s="170">
        <f t="shared" si="95"/>
        <v>0.16084498154117</v>
      </c>
      <c r="O163" s="216">
        <v>0</v>
      </c>
      <c r="P163" s="217">
        <v>4.4904063134544099E-2</v>
      </c>
      <c r="Q163" s="217">
        <v>0.23033369253235239</v>
      </c>
      <c r="R163" s="217">
        <v>0.34842857632095819</v>
      </c>
      <c r="S163" s="217">
        <v>0.40127703956626698</v>
      </c>
      <c r="T163" s="217">
        <v>0.41221653539446734</v>
      </c>
      <c r="U163" s="217">
        <v>0.39700481948519228</v>
      </c>
      <c r="V163" s="217">
        <v>0.38368773510221932</v>
      </c>
      <c r="W163" s="217">
        <v>0.35707790497141473</v>
      </c>
      <c r="X163" s="217">
        <v>0.34748771783640769</v>
      </c>
      <c r="Y163" s="252">
        <v>0.32726326887939766</v>
      </c>
      <c r="Z163" s="168">
        <f t="shared" si="89"/>
        <v>0.12909398324769342</v>
      </c>
      <c r="AA163" s="170">
        <f t="shared" si="90"/>
        <v>0.10737884922484567</v>
      </c>
      <c r="AB163" s="795">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796">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069">
        <f t="shared" si="105"/>
        <v>0</v>
      </c>
      <c r="AE163" s="784">
        <f t="shared" si="102"/>
        <v>0.21065898418824844</v>
      </c>
      <c r="AF163" s="784">
        <f t="shared" si="103"/>
        <v>0.12909398324769342</v>
      </c>
      <c r="AG163" s="784">
        <f t="shared" si="104"/>
        <v>0.33975296743594186</v>
      </c>
      <c r="AH163" s="1015">
        <f t="shared" si="100"/>
        <v>0.62003574472963741</v>
      </c>
      <c r="AI163" s="784">
        <f t="shared" si="101"/>
        <v>0.37996425527036265</v>
      </c>
    </row>
    <row r="164" spans="1:35" x14ac:dyDescent="0.2">
      <c r="A164" s="202">
        <v>2043</v>
      </c>
      <c r="B164" s="216">
        <v>0</v>
      </c>
      <c r="C164" s="217">
        <v>3.0373320178751717E-2</v>
      </c>
      <c r="D164" s="217">
        <v>0.21498326701999898</v>
      </c>
      <c r="E164" s="217">
        <v>0.33018900717420235</v>
      </c>
      <c r="F164" s="217">
        <v>0.37921806333863994</v>
      </c>
      <c r="G164" s="217">
        <v>0.37874897961108506</v>
      </c>
      <c r="H164" s="217">
        <v>0.35993590166828276</v>
      </c>
      <c r="I164" s="217">
        <v>0.34488596213564798</v>
      </c>
      <c r="J164" s="217">
        <v>0.33261111756585665</v>
      </c>
      <c r="K164" s="217">
        <v>0.31941541767788778</v>
      </c>
      <c r="L164" s="252">
        <v>0.30574452797963914</v>
      </c>
      <c r="M164" s="168">
        <f t="shared" si="94"/>
        <v>0.19561584434972215</v>
      </c>
      <c r="N164" s="170">
        <f t="shared" si="95"/>
        <v>0.15355322424564419</v>
      </c>
      <c r="O164" s="216">
        <v>0</v>
      </c>
      <c r="P164" s="217">
        <v>5.3172446999960571E-2</v>
      </c>
      <c r="Q164" s="217">
        <v>0.24477019913296022</v>
      </c>
      <c r="R164" s="217">
        <v>0.35491795825906447</v>
      </c>
      <c r="S164" s="217">
        <v>0.37006125512823074</v>
      </c>
      <c r="T164" s="217">
        <v>0.35918227184303342</v>
      </c>
      <c r="U164" s="217">
        <v>0.34966256289608105</v>
      </c>
      <c r="V164" s="217">
        <v>0.33298611209609519</v>
      </c>
      <c r="W164" s="217">
        <v>0.3174857733130127</v>
      </c>
      <c r="X164" s="217">
        <v>0.30895535806834951</v>
      </c>
      <c r="Y164" s="252">
        <v>0.29669303244539669</v>
      </c>
      <c r="Z164" s="168">
        <f t="shared" si="89"/>
        <v>0.1203431626141996</v>
      </c>
      <c r="AA164" s="170">
        <f t="shared" si="90"/>
        <v>0.10261086801303029</v>
      </c>
      <c r="AB164" s="795">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796">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069">
        <f t="shared" si="105"/>
        <v>0</v>
      </c>
      <c r="AE164" s="784">
        <f t="shared" si="102"/>
        <v>0.19561584434972215</v>
      </c>
      <c r="AF164" s="784">
        <f t="shared" si="103"/>
        <v>0.1203431626141996</v>
      </c>
      <c r="AG164" s="784">
        <f t="shared" si="104"/>
        <v>0.31595900696392176</v>
      </c>
      <c r="AH164" s="1015">
        <f t="shared" si="100"/>
        <v>0.61911779705035863</v>
      </c>
      <c r="AI164" s="784">
        <f t="shared" si="101"/>
        <v>0.38088220294964137</v>
      </c>
    </row>
    <row r="165" spans="1:35" x14ac:dyDescent="0.2">
      <c r="A165" s="202">
        <v>2044</v>
      </c>
      <c r="B165" s="216">
        <v>0</v>
      </c>
      <c r="C165" s="217">
        <v>3.6285057452619764E-2</v>
      </c>
      <c r="D165" s="217">
        <v>0.22155654739852437</v>
      </c>
      <c r="E165" s="217">
        <v>0.32305452726580469</v>
      </c>
      <c r="F165" s="217">
        <v>0.33805505328330421</v>
      </c>
      <c r="G165" s="217">
        <v>0.33122827385047776</v>
      </c>
      <c r="H165" s="217">
        <v>0.31600567755804498</v>
      </c>
      <c r="I165" s="217">
        <v>0.30292444374076649</v>
      </c>
      <c r="J165" s="217">
        <v>0.29503250483722987</v>
      </c>
      <c r="K165" s="217">
        <v>0.289122450118318</v>
      </c>
      <c r="L165" s="252">
        <v>0.28047502323581819</v>
      </c>
      <c r="M165" s="168">
        <f t="shared" si="94"/>
        <v>0.17805132998063869</v>
      </c>
      <c r="N165" s="170">
        <f t="shared" si="95"/>
        <v>0.14250159147086142</v>
      </c>
      <c r="O165" s="216">
        <v>0</v>
      </c>
      <c r="P165" s="217">
        <v>6.2385592375994114E-2</v>
      </c>
      <c r="Q165" s="217">
        <v>0.2478647741890716</v>
      </c>
      <c r="R165" s="217">
        <v>0.31590941796424959</v>
      </c>
      <c r="S165" s="217">
        <v>0.32327643475814899</v>
      </c>
      <c r="T165" s="217">
        <v>0.31673828935465703</v>
      </c>
      <c r="U165" s="217">
        <v>0.30454540325345808</v>
      </c>
      <c r="V165" s="217">
        <v>0.29751400193378552</v>
      </c>
      <c r="W165" s="217">
        <v>0.28691877177622388</v>
      </c>
      <c r="X165" s="217">
        <v>0.28289274805966635</v>
      </c>
      <c r="Y165" s="252">
        <v>0.27709137305404502</v>
      </c>
      <c r="Z165" s="168">
        <f t="shared" si="89"/>
        <v>0.10805678197475709</v>
      </c>
      <c r="AA165" s="170">
        <f t="shared" si="90"/>
        <v>9.3547723645792405E-2</v>
      </c>
      <c r="AB165" s="795">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796">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069">
        <f t="shared" si="105"/>
        <v>0</v>
      </c>
      <c r="AE165" s="784">
        <f t="shared" si="102"/>
        <v>0.17805132998063869</v>
      </c>
      <c r="AF165" s="784">
        <f t="shared" si="103"/>
        <v>0.10805678197475709</v>
      </c>
      <c r="AG165" s="784">
        <f t="shared" si="104"/>
        <v>0.28610811195539576</v>
      </c>
      <c r="AH165" s="1015">
        <f t="shared" si="100"/>
        <v>0.62232185156776287</v>
      </c>
      <c r="AI165" s="784">
        <f t="shared" si="101"/>
        <v>0.37767814843223713</v>
      </c>
    </row>
    <row r="166" spans="1:35" ht="13.5" thickBot="1" x14ac:dyDescent="0.25">
      <c r="A166" s="200">
        <v>2045</v>
      </c>
      <c r="B166" s="218">
        <v>0</v>
      </c>
      <c r="C166" s="219">
        <v>4.0533277121012554E-2</v>
      </c>
      <c r="D166" s="219">
        <v>0.22195829345016702</v>
      </c>
      <c r="E166" s="219">
        <v>0.27350639874476851</v>
      </c>
      <c r="F166" s="219">
        <v>0.29819382808826528</v>
      </c>
      <c r="G166" s="219">
        <v>0.28741439033352578</v>
      </c>
      <c r="H166" s="219">
        <v>0.28240818074806895</v>
      </c>
      <c r="I166" s="219">
        <v>0.2790756368715267</v>
      </c>
      <c r="J166" s="219">
        <v>0.27312543783465515</v>
      </c>
      <c r="K166" s="219">
        <v>0.27087211881854756</v>
      </c>
      <c r="L166" s="253">
        <v>0.26604512571774741</v>
      </c>
      <c r="M166" s="182">
        <f t="shared" si="94"/>
        <v>0.16002788430672374</v>
      </c>
      <c r="N166" s="184">
        <f t="shared" si="95"/>
        <v>0.12870264013205018</v>
      </c>
      <c r="O166" s="218">
        <v>0</v>
      </c>
      <c r="P166" s="219">
        <v>6.8660012622307018E-2</v>
      </c>
      <c r="Q166" s="219">
        <v>0.22774777239772151</v>
      </c>
      <c r="R166" s="219">
        <v>0.2633814935674097</v>
      </c>
      <c r="S166" s="219">
        <v>0.2860482944704989</v>
      </c>
      <c r="T166" s="219">
        <v>0.28251184888381192</v>
      </c>
      <c r="U166" s="219">
        <v>0.27814205770526756</v>
      </c>
      <c r="V166" s="219">
        <v>0.27715729452107085</v>
      </c>
      <c r="W166" s="219">
        <v>0.2708088446251492</v>
      </c>
      <c r="X166" s="219">
        <v>0.26673446195959094</v>
      </c>
      <c r="Y166" s="253">
        <v>0.2646884544635279</v>
      </c>
      <c r="Z166" s="182">
        <f t="shared" si="89"/>
        <v>9.6690519438074676E-2</v>
      </c>
      <c r="AA166" s="184">
        <f t="shared" si="90"/>
        <v>8.3788110655376696E-2</v>
      </c>
      <c r="AB166" s="795">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796">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069">
        <f t="shared" si="105"/>
        <v>0</v>
      </c>
      <c r="AE166" s="784">
        <f t="shared" si="102"/>
        <v>0.16002788430672374</v>
      </c>
      <c r="AF166" s="784">
        <f t="shared" si="103"/>
        <v>9.6690519438074676E-2</v>
      </c>
      <c r="AG166" s="784">
        <f t="shared" si="104"/>
        <v>0.25671840374479843</v>
      </c>
      <c r="AH166" s="1015">
        <f t="shared" si="100"/>
        <v>0.62335961104606308</v>
      </c>
      <c r="AI166" s="784">
        <f t="shared" si="101"/>
        <v>0.37664038895393687</v>
      </c>
    </row>
    <row r="167" spans="1:35" x14ac:dyDescent="0.2">
      <c r="A167" s="201">
        <v>2046</v>
      </c>
      <c r="B167" s="214">
        <v>0</v>
      </c>
      <c r="C167" s="215">
        <v>4.2347658192730418E-2</v>
      </c>
      <c r="D167" s="215">
        <v>0.19501344115393951</v>
      </c>
      <c r="E167" s="215">
        <v>0.22683166829248888</v>
      </c>
      <c r="F167" s="215">
        <v>0.27104943403688281</v>
      </c>
      <c r="G167" s="215">
        <v>0.26694847106432956</v>
      </c>
      <c r="H167" s="215">
        <v>0.2660381538771257</v>
      </c>
      <c r="I167" s="215">
        <v>0.26846197873001243</v>
      </c>
      <c r="J167" s="215">
        <v>0.26287734683356972</v>
      </c>
      <c r="K167" s="215">
        <v>0.26137756174572901</v>
      </c>
      <c r="L167" s="251">
        <v>0.25764188597211823</v>
      </c>
      <c r="M167" s="154">
        <f t="shared" si="94"/>
        <v>0.14680667119516161</v>
      </c>
      <c r="N167" s="156">
        <f t="shared" si="95"/>
        <v>0.11659351095141779</v>
      </c>
      <c r="O167" s="214">
        <v>0</v>
      </c>
      <c r="P167" s="215">
        <v>6.9112093513712253E-2</v>
      </c>
      <c r="Q167" s="215">
        <v>0.20044314509696984</v>
      </c>
      <c r="R167" s="215">
        <v>0.21869551760190387</v>
      </c>
      <c r="S167" s="215">
        <v>0.26785150002531982</v>
      </c>
      <c r="T167" s="215">
        <v>0.26322149070172962</v>
      </c>
      <c r="U167" s="215">
        <v>0.2678184142873038</v>
      </c>
      <c r="V167" s="215">
        <v>0.26473701997671872</v>
      </c>
      <c r="W167" s="215">
        <v>0.26137756174572901</v>
      </c>
      <c r="X167" s="215">
        <v>0.25993268650013146</v>
      </c>
      <c r="Y167" s="251">
        <v>0.25668755436676838</v>
      </c>
      <c r="Z167" s="154">
        <f t="shared" si="89"/>
        <v>8.9020480220418335E-2</v>
      </c>
      <c r="AA167" s="156">
        <f t="shared" si="90"/>
        <v>7.6388482139110786E-2</v>
      </c>
      <c r="AB167" s="795">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796">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069">
        <f t="shared" si="105"/>
        <v>0</v>
      </c>
      <c r="AE167" s="784">
        <f t="shared" si="102"/>
        <v>0.14680667119516161</v>
      </c>
      <c r="AF167" s="784">
        <f t="shared" si="103"/>
        <v>8.9020480220418335E-2</v>
      </c>
      <c r="AG167" s="784">
        <f t="shared" si="104"/>
        <v>0.23582715141557994</v>
      </c>
      <c r="AH167" s="1015">
        <f t="shared" si="100"/>
        <v>0.62251810410267627</v>
      </c>
      <c r="AI167" s="784">
        <f t="shared" si="101"/>
        <v>0.37748189589732367</v>
      </c>
    </row>
    <row r="168" spans="1:35" x14ac:dyDescent="0.2">
      <c r="A168" s="202">
        <v>2047</v>
      </c>
      <c r="B168" s="216">
        <v>0</v>
      </c>
      <c r="C168" s="217">
        <v>4.3707729581257064E-2</v>
      </c>
      <c r="D168" s="217">
        <v>0.16086370185224644</v>
      </c>
      <c r="E168" s="217">
        <v>0.19462066718410612</v>
      </c>
      <c r="F168" s="217">
        <v>0.2492881842752534</v>
      </c>
      <c r="G168" s="217">
        <v>0.26027177999097023</v>
      </c>
      <c r="H168" s="217">
        <v>0.25478865804789169</v>
      </c>
      <c r="I168" s="217">
        <v>0.25822255169701869</v>
      </c>
      <c r="J168" s="217">
        <v>0.25821878161218725</v>
      </c>
      <c r="K168" s="217">
        <v>0.25553924960785362</v>
      </c>
      <c r="L168" s="252">
        <v>0.25258960117572765</v>
      </c>
      <c r="M168" s="168">
        <f t="shared" si="94"/>
        <v>0.13679935791373213</v>
      </c>
      <c r="N168" s="170">
        <f t="shared" si="95"/>
        <v>0.10679718657987666</v>
      </c>
      <c r="O168" s="216">
        <v>0</v>
      </c>
      <c r="P168" s="217">
        <v>6.7076624572889515E-2</v>
      </c>
      <c r="Q168" s="217">
        <v>0.16402539147299341</v>
      </c>
      <c r="R168" s="217">
        <v>0.19963916078816174</v>
      </c>
      <c r="S168" s="217">
        <v>0.24962386143731086</v>
      </c>
      <c r="T168" s="217">
        <v>0.2551564399313912</v>
      </c>
      <c r="U168" s="217">
        <v>0.25703516452694464</v>
      </c>
      <c r="V168" s="217">
        <v>0.25668138743588448</v>
      </c>
      <c r="W168" s="217">
        <v>0.2543791258970286</v>
      </c>
      <c r="X168" s="217">
        <v>0.25446746369178358</v>
      </c>
      <c r="Y168" s="252">
        <v>0.2518623915697808</v>
      </c>
      <c r="Z168" s="168">
        <f t="shared" si="89"/>
        <v>8.3263456954599802E-2</v>
      </c>
      <c r="AA168" s="170">
        <f t="shared" si="90"/>
        <v>7.0479134584307143E-2</v>
      </c>
      <c r="AB168" s="795">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796">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069">
        <f t="shared" si="105"/>
        <v>0</v>
      </c>
      <c r="AE168" s="784">
        <f t="shared" si="102"/>
        <v>0.13679935791373213</v>
      </c>
      <c r="AF168" s="784">
        <f t="shared" si="103"/>
        <v>8.3263456954599802E-2</v>
      </c>
      <c r="AG168" s="784">
        <f t="shared" si="104"/>
        <v>0.22006281486833193</v>
      </c>
      <c r="AH168" s="1015">
        <f t="shared" si="100"/>
        <v>0.62163777190427183</v>
      </c>
      <c r="AI168" s="784">
        <f t="shared" si="101"/>
        <v>0.37836222809572817</v>
      </c>
    </row>
    <row r="169" spans="1:35" x14ac:dyDescent="0.2">
      <c r="A169" s="202">
        <v>2048</v>
      </c>
      <c r="B169" s="216">
        <v>0</v>
      </c>
      <c r="C169" s="217">
        <v>4.2963019890492213E-2</v>
      </c>
      <c r="D169" s="217">
        <v>0.13937600075360718</v>
      </c>
      <c r="E169" s="217">
        <v>0.18441413547733027</v>
      </c>
      <c r="F169" s="217">
        <v>0.23765635007239919</v>
      </c>
      <c r="G169" s="217">
        <v>0.25177559738088279</v>
      </c>
      <c r="H169" s="217">
        <v>0.25211700455139929</v>
      </c>
      <c r="I169" s="217">
        <v>0.2531774794922011</v>
      </c>
      <c r="J169" s="217">
        <v>0.25350976080265958</v>
      </c>
      <c r="K169" s="217">
        <v>0.25122248824217047</v>
      </c>
      <c r="L169" s="252">
        <v>0.24911625964491937</v>
      </c>
      <c r="M169" s="168">
        <f t="shared" si="94"/>
        <v>0.13167459832580644</v>
      </c>
      <c r="N169" s="170">
        <f t="shared" si="95"/>
        <v>0.10168772709527224</v>
      </c>
      <c r="O169" s="216">
        <v>0</v>
      </c>
      <c r="P169" s="217">
        <v>5.4659316190433724E-2</v>
      </c>
      <c r="Q169" s="217">
        <v>0.14656521153152294</v>
      </c>
      <c r="R169" s="217">
        <v>0.1859488069038007</v>
      </c>
      <c r="S169" s="217">
        <v>0.24082454495570099</v>
      </c>
      <c r="T169" s="217">
        <v>0.25283853180819299</v>
      </c>
      <c r="U169" s="217">
        <v>0.25169486562198812</v>
      </c>
      <c r="V169" s="217">
        <v>0.25182868032228112</v>
      </c>
      <c r="W169" s="217">
        <v>0.25027477946074661</v>
      </c>
      <c r="X169" s="217">
        <v>0.25055201450417203</v>
      </c>
      <c r="Y169" s="252">
        <v>0.24911625964491937</v>
      </c>
      <c r="Z169" s="168">
        <f t="shared" si="89"/>
        <v>7.9922396533274515E-2</v>
      </c>
      <c r="AA169" s="170">
        <f t="shared" si="90"/>
        <v>6.6591560022495472E-2</v>
      </c>
      <c r="AB169" s="795">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796">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069">
        <f t="shared" si="105"/>
        <v>0</v>
      </c>
      <c r="AE169" s="784">
        <f t="shared" si="102"/>
        <v>0.13167459832580644</v>
      </c>
      <c r="AF169" s="784">
        <f t="shared" si="103"/>
        <v>7.9922396533274515E-2</v>
      </c>
      <c r="AG169" s="784">
        <f t="shared" si="104"/>
        <v>0.21159699485908096</v>
      </c>
      <c r="AH169" s="1015">
        <f t="shared" si="100"/>
        <v>0.62228954817387128</v>
      </c>
      <c r="AI169" s="784">
        <f t="shared" si="101"/>
        <v>0.37771045182612878</v>
      </c>
    </row>
    <row r="170" spans="1:35" x14ac:dyDescent="0.2">
      <c r="A170" s="202">
        <v>2049</v>
      </c>
      <c r="B170" s="216">
        <v>0</v>
      </c>
      <c r="C170" s="217">
        <v>3.5875429315959703E-2</v>
      </c>
      <c r="D170" s="217">
        <v>0.13648421654469411</v>
      </c>
      <c r="E170" s="217">
        <v>0.17704986412818646</v>
      </c>
      <c r="F170" s="217">
        <v>0.23803074288873247</v>
      </c>
      <c r="G170" s="217">
        <v>0.2445712313684284</v>
      </c>
      <c r="H170" s="217">
        <v>0.25044874129041794</v>
      </c>
      <c r="I170" s="217">
        <v>0.25056786165165063</v>
      </c>
      <c r="J170" s="217">
        <v>0.24994922950227152</v>
      </c>
      <c r="K170" s="217">
        <v>0.24807631278324713</v>
      </c>
      <c r="L170" s="252">
        <v>0.24783859551277168</v>
      </c>
      <c r="M170" s="168">
        <f t="shared" si="94"/>
        <v>0.12966946412449118</v>
      </c>
      <c r="N170" s="170">
        <f t="shared" si="95"/>
        <v>9.9537613782863008E-2</v>
      </c>
      <c r="O170" s="216">
        <v>0</v>
      </c>
      <c r="P170" s="217">
        <v>5.3763368950909947E-2</v>
      </c>
      <c r="Q170" s="217">
        <v>0.14268789275577284</v>
      </c>
      <c r="R170" s="217">
        <v>0.178063630219158</v>
      </c>
      <c r="S170" s="217">
        <v>0.23537259334752939</v>
      </c>
      <c r="T170" s="217">
        <v>0.2479676759329586</v>
      </c>
      <c r="U170" s="217">
        <v>0.24892766804235314</v>
      </c>
      <c r="V170" s="217">
        <v>0.24925350163248464</v>
      </c>
      <c r="W170" s="217">
        <v>0.24900254325045876</v>
      </c>
      <c r="X170" s="217">
        <v>0.24854929097401218</v>
      </c>
      <c r="Y170" s="252">
        <v>0.24735783898989999</v>
      </c>
      <c r="Z170" s="168">
        <f t="shared" si="89"/>
        <v>7.8243828596396794E-2</v>
      </c>
      <c r="AA170" s="170">
        <f t="shared" si="90"/>
        <v>6.5018955254554853E-2</v>
      </c>
      <c r="AB170" s="795">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796">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069">
        <f t="shared" si="105"/>
        <v>0</v>
      </c>
      <c r="AE170" s="784">
        <f t="shared" si="102"/>
        <v>0.12966946412449118</v>
      </c>
      <c r="AF170" s="784">
        <f t="shared" si="103"/>
        <v>7.8243828596396794E-2</v>
      </c>
      <c r="AG170" s="784">
        <f t="shared" si="104"/>
        <v>0.20791329272088799</v>
      </c>
      <c r="AH170" s="1015">
        <f t="shared" si="100"/>
        <v>0.62367086984940978</v>
      </c>
      <c r="AI170" s="784">
        <f t="shared" si="101"/>
        <v>0.37632913015059011</v>
      </c>
    </row>
    <row r="171" spans="1:35" ht="13.5" thickBot="1" x14ac:dyDescent="0.25">
      <c r="A171" s="200">
        <v>2050</v>
      </c>
      <c r="B171" s="218">
        <v>0</v>
      </c>
      <c r="C171" s="219">
        <v>3.5892682980396738E-2</v>
      </c>
      <c r="D171" s="219">
        <v>0.12145087546502387</v>
      </c>
      <c r="E171" s="219">
        <v>0.16407719001101734</v>
      </c>
      <c r="F171" s="219">
        <v>0.22975630250311654</v>
      </c>
      <c r="G171" s="219">
        <v>0.23907501217368388</v>
      </c>
      <c r="H171" s="219">
        <v>0.24546295353441747</v>
      </c>
      <c r="I171" s="219">
        <v>0.24609891608508966</v>
      </c>
      <c r="J171" s="219">
        <v>0.24697966668925037</v>
      </c>
      <c r="K171" s="219">
        <v>0.24533018637753656</v>
      </c>
      <c r="L171" s="253">
        <v>0.24485468831619603</v>
      </c>
      <c r="M171" s="182">
        <f t="shared" si="94"/>
        <v>0.125281882331509</v>
      </c>
      <c r="N171" s="184">
        <f t="shared" si="95"/>
        <v>9.5281416607596883E-2</v>
      </c>
      <c r="O171" s="218">
        <v>0</v>
      </c>
      <c r="P171" s="219">
        <v>5.0680473303287114E-2</v>
      </c>
      <c r="Q171" s="219">
        <v>0.13141465156185067</v>
      </c>
      <c r="R171" s="219">
        <v>0.16713261039221489</v>
      </c>
      <c r="S171" s="219">
        <v>0.22952334883828679</v>
      </c>
      <c r="T171" s="219">
        <v>0.24121014828666804</v>
      </c>
      <c r="U171" s="219">
        <v>0.24413271018180335</v>
      </c>
      <c r="V171" s="219">
        <v>0.24497482410747326</v>
      </c>
      <c r="W171" s="219">
        <v>0.24533018637753656</v>
      </c>
      <c r="X171" s="219">
        <v>0.24532760162035427</v>
      </c>
      <c r="Y171" s="253">
        <v>0.24466156251813984</v>
      </c>
      <c r="Z171" s="182">
        <f t="shared" si="89"/>
        <v>7.5681581980275581E-2</v>
      </c>
      <c r="AA171" s="184">
        <f t="shared" si="90"/>
        <v>6.2432026591290782E-2</v>
      </c>
      <c r="AB171" s="797">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798">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070">
        <f t="shared" si="105"/>
        <v>0</v>
      </c>
      <c r="AE171" s="784">
        <f t="shared" si="102"/>
        <v>0.125281882331509</v>
      </c>
      <c r="AF171" s="784">
        <f t="shared" si="103"/>
        <v>7.5681581980275581E-2</v>
      </c>
      <c r="AG171" s="784">
        <f t="shared" si="104"/>
        <v>0.20096346431178458</v>
      </c>
      <c r="AH171" s="1015">
        <f t="shared" si="100"/>
        <v>0.62340626322574011</v>
      </c>
      <c r="AI171" s="784">
        <f t="shared" si="101"/>
        <v>0.37659373677425995</v>
      </c>
    </row>
    <row r="172" spans="1:35" x14ac:dyDescent="0.2">
      <c r="B172" s="99" t="str">
        <f>B$120</f>
        <v>Output generated: 11/04/2020 14:47</v>
      </c>
      <c r="O172" s="99" t="str">
        <f>O$120</f>
        <v>Output generated: 11/04/2020 14:47</v>
      </c>
      <c r="AE172" s="784">
        <f t="shared" si="102"/>
        <v>0</v>
      </c>
      <c r="AF172" s="784">
        <f t="shared" si="103"/>
        <v>0</v>
      </c>
      <c r="AG172" s="784">
        <f t="shared" si="104"/>
        <v>0</v>
      </c>
      <c r="AH172" s="1015">
        <f t="shared" si="100"/>
        <v>0</v>
      </c>
      <c r="AI172" s="784">
        <f t="shared" si="101"/>
        <v>0</v>
      </c>
    </row>
    <row r="173" spans="1:35" ht="13.5" thickBot="1" x14ac:dyDescent="0.25">
      <c r="AE173" s="784"/>
      <c r="AF173" s="784"/>
      <c r="AG173" s="784"/>
      <c r="AH173" s="784"/>
      <c r="AI173" s="784"/>
    </row>
    <row r="174" spans="1:35" ht="15" x14ac:dyDescent="0.25">
      <c r="A174" s="205"/>
      <c r="B174" s="1539" t="s">
        <v>255</v>
      </c>
      <c r="C174" s="1540"/>
      <c r="D174" s="1540"/>
      <c r="E174" s="1540"/>
      <c r="F174" s="1540"/>
      <c r="G174" s="1540"/>
      <c r="H174" s="1540"/>
      <c r="I174" s="1540"/>
      <c r="J174" s="1540"/>
      <c r="K174" s="1540"/>
      <c r="L174" s="1540"/>
      <c r="M174" s="1540"/>
      <c r="N174" s="1541"/>
      <c r="O174" s="1539" t="s">
        <v>256</v>
      </c>
      <c r="P174" s="1540"/>
      <c r="Q174" s="1540"/>
      <c r="R174" s="1540"/>
      <c r="S174" s="1540"/>
      <c r="T174" s="1540"/>
      <c r="U174" s="1540"/>
      <c r="V174" s="1540"/>
      <c r="W174" s="1540"/>
      <c r="X174" s="1540"/>
      <c r="Y174" s="1540"/>
      <c r="Z174" s="1540"/>
      <c r="AA174" s="1541"/>
      <c r="AE174" s="784"/>
      <c r="AF174" s="784"/>
      <c r="AG174" s="784"/>
      <c r="AH174" s="784"/>
      <c r="AI174" s="784"/>
    </row>
    <row r="175" spans="1:35" x14ac:dyDescent="0.2">
      <c r="A175" s="196"/>
      <c r="B175" s="1536" t="s">
        <v>121</v>
      </c>
      <c r="C175" s="1537"/>
      <c r="D175" s="1537"/>
      <c r="E175" s="1537"/>
      <c r="F175" s="1537"/>
      <c r="G175" s="1537"/>
      <c r="H175" s="1537"/>
      <c r="I175" s="1537"/>
      <c r="J175" s="1537"/>
      <c r="K175" s="1537"/>
      <c r="L175" s="1537"/>
      <c r="M175" s="254"/>
      <c r="N175" s="197"/>
      <c r="O175" s="1536" t="s">
        <v>121</v>
      </c>
      <c r="P175" s="1537"/>
      <c r="Q175" s="1537"/>
      <c r="R175" s="1537"/>
      <c r="S175" s="1537"/>
      <c r="T175" s="1537"/>
      <c r="U175" s="1537"/>
      <c r="V175" s="1537"/>
      <c r="W175" s="1537"/>
      <c r="X175" s="1537"/>
      <c r="Y175" s="1537"/>
      <c r="Z175" s="254"/>
      <c r="AA175" s="197"/>
      <c r="AC175" s="801" t="s">
        <v>267</v>
      </c>
      <c r="AD175" s="106" t="b">
        <f>INDEX(TECH_OPT_FUEL2_Cls2,MATCH(RIGHT(O174),TECH_OPT_ROWS_Cls2,0))&lt;&gt;"N/A"</f>
        <v>0</v>
      </c>
      <c r="AE175" s="784"/>
      <c r="AF175" s="784"/>
      <c r="AG175" s="784"/>
      <c r="AH175" s="784"/>
      <c r="AI175" s="784"/>
    </row>
    <row r="176" spans="1:35" ht="13.5" thickBot="1" x14ac:dyDescent="0.25">
      <c r="A176" s="203"/>
      <c r="B176" s="210" t="s">
        <v>28</v>
      </c>
      <c r="C176" s="211" t="s">
        <v>29</v>
      </c>
      <c r="D176" s="211" t="s">
        <v>30</v>
      </c>
      <c r="E176" s="211" t="s">
        <v>31</v>
      </c>
      <c r="F176" s="211" t="s">
        <v>32</v>
      </c>
      <c r="G176" s="211" t="s">
        <v>33</v>
      </c>
      <c r="H176" s="211" t="s">
        <v>34</v>
      </c>
      <c r="I176" s="211" t="s">
        <v>35</v>
      </c>
      <c r="J176" s="211" t="s">
        <v>36</v>
      </c>
      <c r="K176" s="211" t="s">
        <v>37</v>
      </c>
      <c r="L176" s="249" t="s">
        <v>38</v>
      </c>
      <c r="M176" s="255" t="s">
        <v>122</v>
      </c>
      <c r="N176" s="204" t="s">
        <v>123</v>
      </c>
      <c r="O176" s="210" t="s">
        <v>28</v>
      </c>
      <c r="P176" s="211" t="s">
        <v>29</v>
      </c>
      <c r="Q176" s="211" t="s">
        <v>30</v>
      </c>
      <c r="R176" s="211" t="s">
        <v>31</v>
      </c>
      <c r="S176" s="211" t="s">
        <v>32</v>
      </c>
      <c r="T176" s="211" t="s">
        <v>33</v>
      </c>
      <c r="U176" s="211" t="s">
        <v>34</v>
      </c>
      <c r="V176" s="211" t="s">
        <v>35</v>
      </c>
      <c r="W176" s="211" t="s">
        <v>36</v>
      </c>
      <c r="X176" s="211" t="s">
        <v>37</v>
      </c>
      <c r="Y176" s="249" t="s">
        <v>38</v>
      </c>
      <c r="Z176" s="255" t="s">
        <v>122</v>
      </c>
      <c r="AA176" s="204" t="s">
        <v>123</v>
      </c>
      <c r="AB176" s="783"/>
      <c r="AC176" s="801" t="s">
        <v>268</v>
      </c>
      <c r="AD176" s="106">
        <f>MATCH(RIGHT(O174),TECH_OPT_ROWS_Cls2,0)</f>
        <v>4</v>
      </c>
      <c r="AE176" s="784"/>
      <c r="AF176" s="784"/>
      <c r="AG176" s="784"/>
      <c r="AH176" s="784"/>
      <c r="AI176" s="784"/>
    </row>
    <row r="177" spans="1:39" ht="14.25" thickTop="1" thickBot="1" x14ac:dyDescent="0.25">
      <c r="A177" s="220" t="s">
        <v>124</v>
      </c>
      <c r="B177" s="212">
        <f t="array" ref="B177:L177">TRANSPOSE(Cls2CentTruckShr)</f>
        <v>3.9559734044076443E-2</v>
      </c>
      <c r="C177" s="213">
        <v>8.9650908809480775E-2</v>
      </c>
      <c r="D177" s="213">
        <v>9.1857251580802685E-2</v>
      </c>
      <c r="E177" s="213">
        <v>9.271536797287637E-2</v>
      </c>
      <c r="F177" s="213">
        <v>0.10920126324528824</v>
      </c>
      <c r="G177" s="213">
        <v>4.7813378096654632E-2</v>
      </c>
      <c r="H177" s="213">
        <v>5.2826626309680449E-2</v>
      </c>
      <c r="I177" s="213">
        <v>3.3324854637922362E-2</v>
      </c>
      <c r="J177" s="213">
        <v>1.4796369103015083E-2</v>
      </c>
      <c r="K177" s="213">
        <v>6.5522293759777608E-3</v>
      </c>
      <c r="L177" s="250">
        <v>1.1207747736094297E-2</v>
      </c>
      <c r="M177" s="256"/>
      <c r="N177" s="208"/>
      <c r="O177" s="212">
        <f t="array" ref="O177:Y177">TRANSPOSE(Cls2NCentTruckShr)</f>
        <v>4.6052840844996765E-2</v>
      </c>
      <c r="P177" s="213">
        <v>6.7033462620106746E-2</v>
      </c>
      <c r="Q177" s="213">
        <v>6.2316087841293416E-2</v>
      </c>
      <c r="R177" s="213">
        <v>6.9108422941336428E-2</v>
      </c>
      <c r="S177" s="213">
        <v>7.8222088301235171E-2</v>
      </c>
      <c r="T177" s="213">
        <v>3.5529474750239771E-2</v>
      </c>
      <c r="U177" s="213">
        <v>3.0248313910710867E-2</v>
      </c>
      <c r="V177" s="213">
        <v>8.2628405675757074E-3</v>
      </c>
      <c r="W177" s="213">
        <v>6.4250307191884484E-3</v>
      </c>
      <c r="X177" s="213">
        <v>1.9993158802676368E-3</v>
      </c>
      <c r="Y177" s="1052">
        <v>5.2963907111801883E-3</v>
      </c>
      <c r="Z177" s="1057"/>
      <c r="AA177" s="1058"/>
    </row>
    <row r="178" spans="1:39" x14ac:dyDescent="0.2">
      <c r="A178" s="203" t="s">
        <v>125</v>
      </c>
      <c r="B178" s="770">
        <f t="array" ref="B178:L178">TRANSPOSE(Cls2CentVMTShr)</f>
        <v>6.3375455551975849E-3</v>
      </c>
      <c r="C178" s="771">
        <v>3.496913005496359E-2</v>
      </c>
      <c r="D178" s="771">
        <v>5.9955127131675522E-2</v>
      </c>
      <c r="E178" s="771">
        <v>8.4599669387910512E-2</v>
      </c>
      <c r="F178" s="771">
        <v>0.12702701008436962</v>
      </c>
      <c r="G178" s="771">
        <v>6.7204731283582092E-2</v>
      </c>
      <c r="H178" s="771">
        <v>8.8708982453757024E-2</v>
      </c>
      <c r="I178" s="771">
        <v>6.4694225377098208E-2</v>
      </c>
      <c r="J178" s="771">
        <v>3.2526447027526634E-2</v>
      </c>
      <c r="K178" s="771">
        <v>1.589064319454132E-2</v>
      </c>
      <c r="L178" s="1053">
        <v>3.2608183213810787E-2</v>
      </c>
      <c r="M178" s="1054"/>
      <c r="N178" s="1055"/>
      <c r="O178" s="770">
        <f t="array" ref="O178:Y178">TRANSPOSE(Cls2NCentVMTShr)</f>
        <v>8.1228463417563086E-3</v>
      </c>
      <c r="P178" s="771">
        <v>2.7563836768431361E-2</v>
      </c>
      <c r="Q178" s="771">
        <v>4.1883113088337191E-2</v>
      </c>
      <c r="R178" s="771">
        <v>6.4289357588678764E-2</v>
      </c>
      <c r="S178" s="771">
        <v>9.1183275251204537E-2</v>
      </c>
      <c r="T178" s="771">
        <v>5.1984283219922628E-2</v>
      </c>
      <c r="U178" s="771">
        <v>5.0286059545109812E-2</v>
      </c>
      <c r="V178" s="771">
        <v>1.5542287574292338E-2</v>
      </c>
      <c r="W178" s="771">
        <v>1.4506257462625264E-2</v>
      </c>
      <c r="X178" s="771">
        <v>4.9330966304706684E-3</v>
      </c>
      <c r="Y178" s="772">
        <v>1.5183891764738403E-2</v>
      </c>
      <c r="Z178" s="1054"/>
      <c r="AA178" s="1055"/>
      <c r="AB178" s="1552" t="str">
        <f>"% of miles on f2 for Tech "&amp; RIGHT(O173)&amp;" adopters"</f>
        <v>% of miles on f2 for Tech  adopters</v>
      </c>
      <c r="AC178" s="1553"/>
      <c r="AD178" s="1554"/>
      <c r="AE178" s="784" t="s">
        <v>300</v>
      </c>
      <c r="AF178" s="784"/>
      <c r="AG178" s="784"/>
      <c r="AH178" s="1015" t="s">
        <v>301</v>
      </c>
      <c r="AI178" s="784"/>
    </row>
    <row r="179" spans="1:39" ht="13.5" thickBot="1" x14ac:dyDescent="0.25">
      <c r="A179" s="789" t="s">
        <v>266</v>
      </c>
      <c r="B179" s="780">
        <f t="array" ref="B179:L179">TRANSPOSE(Cls2CentVMT/OPDAYS_Cls2)</f>
        <v>49.332453271995263</v>
      </c>
      <c r="C179" s="781">
        <v>120.11441047790339</v>
      </c>
      <c r="D179" s="781">
        <v>200.99157969807086</v>
      </c>
      <c r="E179" s="781">
        <v>280.98421424125928</v>
      </c>
      <c r="F179" s="781">
        <v>358.20644524895255</v>
      </c>
      <c r="G179" s="781">
        <v>432.82805471770689</v>
      </c>
      <c r="H179" s="781">
        <v>517.10615118099815</v>
      </c>
      <c r="I179" s="781">
        <v>597.8087063838957</v>
      </c>
      <c r="J179" s="781">
        <v>676.93419409560215</v>
      </c>
      <c r="K179" s="781">
        <v>746.82245226325631</v>
      </c>
      <c r="L179" s="782">
        <v>895.92826380844349</v>
      </c>
      <c r="M179" s="778"/>
      <c r="N179" s="779"/>
      <c r="O179" s="780">
        <f t="array" ref="O179:Y179">TRANSPOSE(Cls2NCentVMT/OPDAYS_Cls2)</f>
        <v>54.31462614952413</v>
      </c>
      <c r="P179" s="781">
        <v>126.62311644744663</v>
      </c>
      <c r="Q179" s="781">
        <v>206.96826351576016</v>
      </c>
      <c r="R179" s="781">
        <v>286.46600131499179</v>
      </c>
      <c r="S179" s="781">
        <v>358.9638908170715</v>
      </c>
      <c r="T179" s="781">
        <v>450.55545819643328</v>
      </c>
      <c r="U179" s="781">
        <v>511.93098482414172</v>
      </c>
      <c r="V179" s="781">
        <v>579.22933632093111</v>
      </c>
      <c r="W179" s="781">
        <v>695.25665569614875</v>
      </c>
      <c r="X179" s="781">
        <v>759.80682330760794</v>
      </c>
      <c r="Y179" s="1056">
        <v>882.81167173661356</v>
      </c>
      <c r="Z179" s="790"/>
      <c r="AA179" s="779"/>
      <c r="AB179" s="792" t="s">
        <v>186</v>
      </c>
      <c r="AC179" s="793" t="s">
        <v>15</v>
      </c>
      <c r="AD179" s="794" t="s">
        <v>18</v>
      </c>
      <c r="AE179" s="784" t="s">
        <v>186</v>
      </c>
      <c r="AF179" s="784" t="s">
        <v>15</v>
      </c>
      <c r="AG179" s="784" t="s">
        <v>18</v>
      </c>
      <c r="AH179" s="1015" t="s">
        <v>186</v>
      </c>
      <c r="AI179" s="784" t="s">
        <v>15</v>
      </c>
      <c r="AJ179" s="195"/>
      <c r="AK179" s="195"/>
      <c r="AL179" s="195"/>
      <c r="AM179" s="195"/>
    </row>
    <row r="180" spans="1:39" ht="13.5" thickTop="1" x14ac:dyDescent="0.2">
      <c r="A180" s="198">
        <v>2007</v>
      </c>
      <c r="B180" s="214">
        <v>0</v>
      </c>
      <c r="C180" s="215">
        <v>0</v>
      </c>
      <c r="D180" s="215">
        <v>0</v>
      </c>
      <c r="E180" s="215">
        <v>0</v>
      </c>
      <c r="F180" s="215">
        <v>0</v>
      </c>
      <c r="G180" s="215">
        <v>0</v>
      </c>
      <c r="H180" s="215">
        <v>0</v>
      </c>
      <c r="I180" s="215">
        <v>0</v>
      </c>
      <c r="J180" s="215">
        <v>0</v>
      </c>
      <c r="K180" s="215">
        <v>0</v>
      </c>
      <c r="L180" s="251">
        <v>0</v>
      </c>
      <c r="M180" s="154">
        <f>SUMPRODUCT($B$178:$L$178,$B180:$L180)</f>
        <v>0</v>
      </c>
      <c r="N180" s="156">
        <f>SUMPRODUCT($B$177:$L$177,$B180:$L180)</f>
        <v>0</v>
      </c>
      <c r="O180" s="214">
        <v>0</v>
      </c>
      <c r="P180" s="215">
        <v>0</v>
      </c>
      <c r="Q180" s="215">
        <v>0</v>
      </c>
      <c r="R180" s="215">
        <v>0</v>
      </c>
      <c r="S180" s="215">
        <v>0</v>
      </c>
      <c r="T180" s="215">
        <v>0</v>
      </c>
      <c r="U180" s="215">
        <v>0</v>
      </c>
      <c r="V180" s="215">
        <v>0</v>
      </c>
      <c r="W180" s="215">
        <v>0</v>
      </c>
      <c r="X180" s="215">
        <v>0</v>
      </c>
      <c r="Y180" s="251">
        <v>0</v>
      </c>
      <c r="Z180" s="259">
        <f>SUMPRODUCT($O$178:$Y$178,$O180:$Y180)</f>
        <v>0</v>
      </c>
      <c r="AA180" s="156">
        <f>SUMPRODUCT($O$177:$Y$177,$O180:$Y180)</f>
        <v>0</v>
      </c>
      <c r="AB180" s="795">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796">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069">
        <f>AB180*AH180+AC180*AI180</f>
        <v>0</v>
      </c>
      <c r="AE180" s="784">
        <f t="shared" ref="AE180:AE194" si="106">SUMPRODUCT($B$74:$L$74,B180:L180)</f>
        <v>0</v>
      </c>
      <c r="AF180" s="784">
        <f t="shared" ref="AF180:AF194" si="107">SUMPRODUCT($O$74:$Y$74,O180:Y180)</f>
        <v>0</v>
      </c>
      <c r="AG180" s="784">
        <f t="shared" ref="AG180:AG194" si="108">SUM(AE180:AF180)</f>
        <v>0</v>
      </c>
      <c r="AH180" s="1015">
        <f>IF(AG180&gt;0,AE180/AG180,0)</f>
        <v>0</v>
      </c>
      <c r="AI180" s="784">
        <f>IF(AG180&gt;0,AF180/AG180,0)</f>
        <v>0</v>
      </c>
    </row>
    <row r="181" spans="1:39" x14ac:dyDescent="0.2">
      <c r="A181" s="199">
        <v>2008</v>
      </c>
      <c r="B181" s="216">
        <v>0</v>
      </c>
      <c r="C181" s="217">
        <v>0</v>
      </c>
      <c r="D181" s="217">
        <v>0</v>
      </c>
      <c r="E181" s="217">
        <v>0</v>
      </c>
      <c r="F181" s="217">
        <v>0</v>
      </c>
      <c r="G181" s="217">
        <v>0</v>
      </c>
      <c r="H181" s="217">
        <v>0</v>
      </c>
      <c r="I181" s="217">
        <v>0</v>
      </c>
      <c r="J181" s="217">
        <v>0</v>
      </c>
      <c r="K181" s="217">
        <v>0</v>
      </c>
      <c r="L181" s="252">
        <v>0</v>
      </c>
      <c r="M181" s="168">
        <f t="shared" ref="M181:M223" si="109">SUMPRODUCT($B$178:$L$178,$B181:$L181)</f>
        <v>0</v>
      </c>
      <c r="N181" s="170">
        <f t="shared" ref="N181:N223" si="110">SUMPRODUCT($B$177:$L$177,$B181:$L181)</f>
        <v>0</v>
      </c>
      <c r="O181" s="216">
        <v>0</v>
      </c>
      <c r="P181" s="217">
        <v>0</v>
      </c>
      <c r="Q181" s="217">
        <v>0</v>
      </c>
      <c r="R181" s="217">
        <v>0</v>
      </c>
      <c r="S181" s="217">
        <v>0</v>
      </c>
      <c r="T181" s="217">
        <v>0</v>
      </c>
      <c r="U181" s="217">
        <v>0</v>
      </c>
      <c r="V181" s="217">
        <v>0</v>
      </c>
      <c r="W181" s="217">
        <v>0</v>
      </c>
      <c r="X181" s="217">
        <v>0</v>
      </c>
      <c r="Y181" s="252">
        <v>0</v>
      </c>
      <c r="Z181" s="168">
        <f t="shared" ref="Z181:Z223" si="111">SUMPRODUCT($O$178:$Y$178,$O181:$Y181)</f>
        <v>0</v>
      </c>
      <c r="AA181" s="170">
        <f t="shared" ref="AA181:AA223" si="112">SUMPRODUCT($O$177:$Y$177,$O181:$Y181)</f>
        <v>0</v>
      </c>
      <c r="AB181" s="795">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796">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069">
        <f t="shared" ref="AD181:AD205" si="113">AB181*AH181+AC181*AI181</f>
        <v>0</v>
      </c>
      <c r="AE181" s="784">
        <f t="shared" si="106"/>
        <v>0</v>
      </c>
      <c r="AF181" s="784">
        <f t="shared" si="107"/>
        <v>0</v>
      </c>
      <c r="AG181" s="784">
        <f t="shared" si="108"/>
        <v>0</v>
      </c>
      <c r="AH181" s="1015">
        <f t="shared" ref="AH181:AH199" si="114">IF(AG181&gt;0,AE181/AG181,0)</f>
        <v>0</v>
      </c>
      <c r="AI181" s="784">
        <f t="shared" ref="AI181:AI199" si="115">IF(AG181&gt;0,AF181/AG181,0)</f>
        <v>0</v>
      </c>
    </row>
    <row r="182" spans="1:39" x14ac:dyDescent="0.2">
      <c r="A182" s="199">
        <v>2009</v>
      </c>
      <c r="B182" s="216">
        <v>0</v>
      </c>
      <c r="C182" s="217">
        <v>0</v>
      </c>
      <c r="D182" s="217">
        <v>0</v>
      </c>
      <c r="E182" s="217">
        <v>0</v>
      </c>
      <c r="F182" s="217">
        <v>0</v>
      </c>
      <c r="G182" s="217">
        <v>0</v>
      </c>
      <c r="H182" s="217">
        <v>0</v>
      </c>
      <c r="I182" s="217">
        <v>0</v>
      </c>
      <c r="J182" s="217">
        <v>0</v>
      </c>
      <c r="K182" s="217">
        <v>0</v>
      </c>
      <c r="L182" s="252">
        <v>0</v>
      </c>
      <c r="M182" s="168">
        <f t="shared" si="109"/>
        <v>0</v>
      </c>
      <c r="N182" s="170">
        <f t="shared" si="110"/>
        <v>0</v>
      </c>
      <c r="O182" s="216">
        <v>0</v>
      </c>
      <c r="P182" s="217">
        <v>0</v>
      </c>
      <c r="Q182" s="217">
        <v>0</v>
      </c>
      <c r="R182" s="217">
        <v>0</v>
      </c>
      <c r="S182" s="217">
        <v>0</v>
      </c>
      <c r="T182" s="217">
        <v>0</v>
      </c>
      <c r="U182" s="217">
        <v>0</v>
      </c>
      <c r="V182" s="217">
        <v>0</v>
      </c>
      <c r="W182" s="217">
        <v>0</v>
      </c>
      <c r="X182" s="217">
        <v>0</v>
      </c>
      <c r="Y182" s="252">
        <v>0</v>
      </c>
      <c r="Z182" s="168">
        <f t="shared" si="111"/>
        <v>0</v>
      </c>
      <c r="AA182" s="170">
        <f t="shared" si="112"/>
        <v>0</v>
      </c>
      <c r="AB182" s="795">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796">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069">
        <f t="shared" si="113"/>
        <v>0</v>
      </c>
      <c r="AE182" s="784">
        <f t="shared" si="106"/>
        <v>0</v>
      </c>
      <c r="AF182" s="784">
        <f t="shared" si="107"/>
        <v>0</v>
      </c>
      <c r="AG182" s="784">
        <f t="shared" si="108"/>
        <v>0</v>
      </c>
      <c r="AH182" s="1015">
        <f t="shared" si="114"/>
        <v>0</v>
      </c>
      <c r="AI182" s="784">
        <f t="shared" si="115"/>
        <v>0</v>
      </c>
    </row>
    <row r="183" spans="1:39" ht="13.5" thickBot="1" x14ac:dyDescent="0.25">
      <c r="A183" s="200">
        <v>2010</v>
      </c>
      <c r="B183" s="218">
        <v>0</v>
      </c>
      <c r="C183" s="219">
        <v>0</v>
      </c>
      <c r="D183" s="219">
        <v>0</v>
      </c>
      <c r="E183" s="219">
        <v>0</v>
      </c>
      <c r="F183" s="219">
        <v>0</v>
      </c>
      <c r="G183" s="219">
        <v>0</v>
      </c>
      <c r="H183" s="219">
        <v>0</v>
      </c>
      <c r="I183" s="219">
        <v>0</v>
      </c>
      <c r="J183" s="219">
        <v>0</v>
      </c>
      <c r="K183" s="219">
        <v>0</v>
      </c>
      <c r="L183" s="253">
        <v>0</v>
      </c>
      <c r="M183" s="182">
        <f t="shared" si="109"/>
        <v>0</v>
      </c>
      <c r="N183" s="184">
        <f t="shared" si="110"/>
        <v>0</v>
      </c>
      <c r="O183" s="218">
        <v>0</v>
      </c>
      <c r="P183" s="219">
        <v>0</v>
      </c>
      <c r="Q183" s="219">
        <v>0</v>
      </c>
      <c r="R183" s="219">
        <v>0</v>
      </c>
      <c r="S183" s="219">
        <v>0</v>
      </c>
      <c r="T183" s="219">
        <v>0</v>
      </c>
      <c r="U183" s="219">
        <v>0</v>
      </c>
      <c r="V183" s="219">
        <v>0</v>
      </c>
      <c r="W183" s="219">
        <v>0</v>
      </c>
      <c r="X183" s="219">
        <v>0</v>
      </c>
      <c r="Y183" s="253">
        <v>0</v>
      </c>
      <c r="Z183" s="182">
        <f t="shared" si="111"/>
        <v>0</v>
      </c>
      <c r="AA183" s="184">
        <f t="shared" si="112"/>
        <v>0</v>
      </c>
      <c r="AB183" s="795">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796">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069">
        <f t="shared" si="113"/>
        <v>0</v>
      </c>
      <c r="AE183" s="784">
        <f t="shared" si="106"/>
        <v>0</v>
      </c>
      <c r="AF183" s="784">
        <f t="shared" si="107"/>
        <v>0</v>
      </c>
      <c r="AG183" s="784">
        <f t="shared" si="108"/>
        <v>0</v>
      </c>
      <c r="AH183" s="1015">
        <f t="shared" si="114"/>
        <v>0</v>
      </c>
      <c r="AI183" s="784">
        <f t="shared" si="115"/>
        <v>0</v>
      </c>
    </row>
    <row r="184" spans="1:39" x14ac:dyDescent="0.2">
      <c r="A184" s="201">
        <v>2011</v>
      </c>
      <c r="B184" s="214">
        <v>0</v>
      </c>
      <c r="C184" s="215">
        <v>0</v>
      </c>
      <c r="D184" s="215">
        <v>0</v>
      </c>
      <c r="E184" s="215">
        <v>0</v>
      </c>
      <c r="F184" s="215">
        <v>0</v>
      </c>
      <c r="G184" s="215">
        <v>0</v>
      </c>
      <c r="H184" s="215">
        <v>0</v>
      </c>
      <c r="I184" s="215">
        <v>0</v>
      </c>
      <c r="J184" s="215">
        <v>0</v>
      </c>
      <c r="K184" s="215">
        <v>0</v>
      </c>
      <c r="L184" s="251">
        <v>0</v>
      </c>
      <c r="M184" s="154">
        <f t="shared" si="109"/>
        <v>0</v>
      </c>
      <c r="N184" s="156">
        <f t="shared" si="110"/>
        <v>0</v>
      </c>
      <c r="O184" s="214">
        <v>0</v>
      </c>
      <c r="P184" s="215">
        <v>0</v>
      </c>
      <c r="Q184" s="215">
        <v>0</v>
      </c>
      <c r="R184" s="215">
        <v>0</v>
      </c>
      <c r="S184" s="215">
        <v>0</v>
      </c>
      <c r="T184" s="215">
        <v>0</v>
      </c>
      <c r="U184" s="215">
        <v>0</v>
      </c>
      <c r="V184" s="215">
        <v>0</v>
      </c>
      <c r="W184" s="215">
        <v>0</v>
      </c>
      <c r="X184" s="215">
        <v>0</v>
      </c>
      <c r="Y184" s="251">
        <v>0</v>
      </c>
      <c r="Z184" s="154">
        <f t="shared" si="111"/>
        <v>0</v>
      </c>
      <c r="AA184" s="156">
        <f t="shared" si="112"/>
        <v>0</v>
      </c>
      <c r="AB184" s="795">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796">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069">
        <f t="shared" si="113"/>
        <v>0</v>
      </c>
      <c r="AE184" s="784">
        <f t="shared" si="106"/>
        <v>0</v>
      </c>
      <c r="AF184" s="784">
        <f t="shared" si="107"/>
        <v>0</v>
      </c>
      <c r="AG184" s="784">
        <f t="shared" si="108"/>
        <v>0</v>
      </c>
      <c r="AH184" s="1015">
        <f t="shared" si="114"/>
        <v>0</v>
      </c>
      <c r="AI184" s="784">
        <f t="shared" si="115"/>
        <v>0</v>
      </c>
    </row>
    <row r="185" spans="1:39" x14ac:dyDescent="0.2">
      <c r="A185" s="202">
        <v>2012</v>
      </c>
      <c r="B185" s="216">
        <v>0</v>
      </c>
      <c r="C185" s="217">
        <v>0</v>
      </c>
      <c r="D185" s="217">
        <v>0</v>
      </c>
      <c r="E185" s="217">
        <v>0</v>
      </c>
      <c r="F185" s="217">
        <v>0</v>
      </c>
      <c r="G185" s="217">
        <v>0</v>
      </c>
      <c r="H185" s="217">
        <v>0</v>
      </c>
      <c r="I185" s="217">
        <v>0</v>
      </c>
      <c r="J185" s="217">
        <v>0</v>
      </c>
      <c r="K185" s="217">
        <v>0</v>
      </c>
      <c r="L185" s="252">
        <v>0</v>
      </c>
      <c r="M185" s="168">
        <f t="shared" si="109"/>
        <v>0</v>
      </c>
      <c r="N185" s="170">
        <f t="shared" si="110"/>
        <v>0</v>
      </c>
      <c r="O185" s="216">
        <v>0</v>
      </c>
      <c r="P185" s="217">
        <v>0</v>
      </c>
      <c r="Q185" s="217">
        <v>0</v>
      </c>
      <c r="R185" s="217">
        <v>0</v>
      </c>
      <c r="S185" s="217">
        <v>0</v>
      </c>
      <c r="T185" s="217">
        <v>0</v>
      </c>
      <c r="U185" s="217">
        <v>0</v>
      </c>
      <c r="V185" s="217">
        <v>0</v>
      </c>
      <c r="W185" s="217">
        <v>0</v>
      </c>
      <c r="X185" s="217">
        <v>0</v>
      </c>
      <c r="Y185" s="252">
        <v>0</v>
      </c>
      <c r="Z185" s="168">
        <f t="shared" si="111"/>
        <v>0</v>
      </c>
      <c r="AA185" s="170">
        <f t="shared" si="112"/>
        <v>0</v>
      </c>
      <c r="AB185" s="795">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796">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069">
        <f t="shared" si="113"/>
        <v>0</v>
      </c>
      <c r="AE185" s="784">
        <f t="shared" si="106"/>
        <v>0</v>
      </c>
      <c r="AF185" s="784">
        <f t="shared" si="107"/>
        <v>0</v>
      </c>
      <c r="AG185" s="784">
        <f t="shared" si="108"/>
        <v>0</v>
      </c>
      <c r="AH185" s="1015">
        <f t="shared" si="114"/>
        <v>0</v>
      </c>
      <c r="AI185" s="784">
        <f t="shared" si="115"/>
        <v>0</v>
      </c>
    </row>
    <row r="186" spans="1:39" x14ac:dyDescent="0.2">
      <c r="A186" s="202">
        <v>2013</v>
      </c>
      <c r="B186" s="216">
        <v>0</v>
      </c>
      <c r="C186" s="217">
        <v>0</v>
      </c>
      <c r="D186" s="217">
        <v>0</v>
      </c>
      <c r="E186" s="217">
        <v>0</v>
      </c>
      <c r="F186" s="217">
        <v>0</v>
      </c>
      <c r="G186" s="217">
        <v>0</v>
      </c>
      <c r="H186" s="217">
        <v>0</v>
      </c>
      <c r="I186" s="217">
        <v>0</v>
      </c>
      <c r="J186" s="217">
        <v>0</v>
      </c>
      <c r="K186" s="217">
        <v>0</v>
      </c>
      <c r="L186" s="252">
        <v>0</v>
      </c>
      <c r="M186" s="168">
        <f t="shared" si="109"/>
        <v>0</v>
      </c>
      <c r="N186" s="170">
        <f t="shared" si="110"/>
        <v>0</v>
      </c>
      <c r="O186" s="216">
        <v>0</v>
      </c>
      <c r="P186" s="217">
        <v>0</v>
      </c>
      <c r="Q186" s="217">
        <v>0</v>
      </c>
      <c r="R186" s="217">
        <v>0</v>
      </c>
      <c r="S186" s="217">
        <v>0</v>
      </c>
      <c r="T186" s="217">
        <v>0</v>
      </c>
      <c r="U186" s="217">
        <v>0</v>
      </c>
      <c r="V186" s="217">
        <v>0</v>
      </c>
      <c r="W186" s="217">
        <v>0</v>
      </c>
      <c r="X186" s="217">
        <v>0</v>
      </c>
      <c r="Y186" s="252">
        <v>0</v>
      </c>
      <c r="Z186" s="168">
        <f t="shared" si="111"/>
        <v>0</v>
      </c>
      <c r="AA186" s="170">
        <f t="shared" si="112"/>
        <v>0</v>
      </c>
      <c r="AB186" s="795">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796">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069">
        <f t="shared" si="113"/>
        <v>0</v>
      </c>
      <c r="AE186" s="784">
        <f t="shared" si="106"/>
        <v>0</v>
      </c>
      <c r="AF186" s="784">
        <f t="shared" si="107"/>
        <v>0</v>
      </c>
      <c r="AG186" s="784">
        <f t="shared" si="108"/>
        <v>0</v>
      </c>
      <c r="AH186" s="1015">
        <f t="shared" si="114"/>
        <v>0</v>
      </c>
      <c r="AI186" s="784">
        <f t="shared" si="115"/>
        <v>0</v>
      </c>
    </row>
    <row r="187" spans="1:39" x14ac:dyDescent="0.2">
      <c r="A187" s="202">
        <v>2014</v>
      </c>
      <c r="B187" s="216">
        <v>0</v>
      </c>
      <c r="C187" s="217">
        <v>0</v>
      </c>
      <c r="D187" s="217">
        <v>0</v>
      </c>
      <c r="E187" s="217">
        <v>0</v>
      </c>
      <c r="F187" s="217">
        <v>0</v>
      </c>
      <c r="G187" s="217">
        <v>0</v>
      </c>
      <c r="H187" s="217">
        <v>0</v>
      </c>
      <c r="I187" s="217">
        <v>0</v>
      </c>
      <c r="J187" s="217">
        <v>0</v>
      </c>
      <c r="K187" s="217">
        <v>0</v>
      </c>
      <c r="L187" s="252">
        <v>0</v>
      </c>
      <c r="M187" s="168">
        <f t="shared" si="109"/>
        <v>0</v>
      </c>
      <c r="N187" s="170">
        <f t="shared" si="110"/>
        <v>0</v>
      </c>
      <c r="O187" s="216">
        <v>0</v>
      </c>
      <c r="P187" s="217">
        <v>0</v>
      </c>
      <c r="Q187" s="217">
        <v>0</v>
      </c>
      <c r="R187" s="217">
        <v>0</v>
      </c>
      <c r="S187" s="217">
        <v>0</v>
      </c>
      <c r="T187" s="217">
        <v>0</v>
      </c>
      <c r="U187" s="217">
        <v>0</v>
      </c>
      <c r="V187" s="217">
        <v>0</v>
      </c>
      <c r="W187" s="217">
        <v>0</v>
      </c>
      <c r="X187" s="217">
        <v>0</v>
      </c>
      <c r="Y187" s="252">
        <v>0</v>
      </c>
      <c r="Z187" s="168">
        <f t="shared" si="111"/>
        <v>0</v>
      </c>
      <c r="AA187" s="170">
        <f t="shared" si="112"/>
        <v>0</v>
      </c>
      <c r="AB187" s="795">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796">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069">
        <f t="shared" si="113"/>
        <v>0</v>
      </c>
      <c r="AE187" s="784">
        <f t="shared" si="106"/>
        <v>0</v>
      </c>
      <c r="AF187" s="784">
        <f t="shared" si="107"/>
        <v>0</v>
      </c>
      <c r="AG187" s="784">
        <f t="shared" si="108"/>
        <v>0</v>
      </c>
      <c r="AH187" s="1015">
        <f t="shared" si="114"/>
        <v>0</v>
      </c>
      <c r="AI187" s="784">
        <f t="shared" si="115"/>
        <v>0</v>
      </c>
    </row>
    <row r="188" spans="1:39" ht="13.5" thickBot="1" x14ac:dyDescent="0.25">
      <c r="A188" s="200">
        <v>2015</v>
      </c>
      <c r="B188" s="218">
        <v>0</v>
      </c>
      <c r="C188" s="219">
        <v>0</v>
      </c>
      <c r="D188" s="219">
        <v>0</v>
      </c>
      <c r="E188" s="219">
        <v>0</v>
      </c>
      <c r="F188" s="219">
        <v>0</v>
      </c>
      <c r="G188" s="219">
        <v>0</v>
      </c>
      <c r="H188" s="219">
        <v>0</v>
      </c>
      <c r="I188" s="219">
        <v>0</v>
      </c>
      <c r="J188" s="219">
        <v>0</v>
      </c>
      <c r="K188" s="219">
        <v>0</v>
      </c>
      <c r="L188" s="253">
        <v>0</v>
      </c>
      <c r="M188" s="182">
        <f t="shared" si="109"/>
        <v>0</v>
      </c>
      <c r="N188" s="184">
        <f t="shared" si="110"/>
        <v>0</v>
      </c>
      <c r="O188" s="218">
        <v>0</v>
      </c>
      <c r="P188" s="219">
        <v>0</v>
      </c>
      <c r="Q188" s="219">
        <v>0</v>
      </c>
      <c r="R188" s="219">
        <v>0</v>
      </c>
      <c r="S188" s="219">
        <v>0</v>
      </c>
      <c r="T188" s="219">
        <v>0</v>
      </c>
      <c r="U188" s="219">
        <v>0</v>
      </c>
      <c r="V188" s="219">
        <v>0</v>
      </c>
      <c r="W188" s="219">
        <v>0</v>
      </c>
      <c r="X188" s="219">
        <v>0</v>
      </c>
      <c r="Y188" s="253">
        <v>0</v>
      </c>
      <c r="Z188" s="182">
        <f t="shared" si="111"/>
        <v>0</v>
      </c>
      <c r="AA188" s="184">
        <f t="shared" si="112"/>
        <v>0</v>
      </c>
      <c r="AB188" s="795">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796">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069">
        <f t="shared" si="113"/>
        <v>0</v>
      </c>
      <c r="AE188" s="784">
        <f t="shared" si="106"/>
        <v>0</v>
      </c>
      <c r="AF188" s="784">
        <f t="shared" si="107"/>
        <v>0</v>
      </c>
      <c r="AG188" s="784">
        <f t="shared" si="108"/>
        <v>0</v>
      </c>
      <c r="AH188" s="1015">
        <f t="shared" si="114"/>
        <v>0</v>
      </c>
      <c r="AI188" s="784">
        <f t="shared" si="115"/>
        <v>0</v>
      </c>
    </row>
    <row r="189" spans="1:39" x14ac:dyDescent="0.2">
      <c r="A189" s="201">
        <v>2016</v>
      </c>
      <c r="B189" s="214">
        <v>0</v>
      </c>
      <c r="C189" s="215">
        <v>0</v>
      </c>
      <c r="D189" s="215">
        <v>0</v>
      </c>
      <c r="E189" s="215">
        <v>0</v>
      </c>
      <c r="F189" s="215">
        <v>0</v>
      </c>
      <c r="G189" s="215">
        <v>0</v>
      </c>
      <c r="H189" s="215">
        <v>0</v>
      </c>
      <c r="I189" s="215">
        <v>0</v>
      </c>
      <c r="J189" s="215">
        <v>0</v>
      </c>
      <c r="K189" s="215">
        <v>0</v>
      </c>
      <c r="L189" s="251">
        <v>0</v>
      </c>
      <c r="M189" s="154">
        <f t="shared" si="109"/>
        <v>0</v>
      </c>
      <c r="N189" s="156">
        <f t="shared" si="110"/>
        <v>0</v>
      </c>
      <c r="O189" s="214">
        <v>0</v>
      </c>
      <c r="P189" s="215">
        <v>0</v>
      </c>
      <c r="Q189" s="215">
        <v>0</v>
      </c>
      <c r="R189" s="215">
        <v>0</v>
      </c>
      <c r="S189" s="215">
        <v>0</v>
      </c>
      <c r="T189" s="215">
        <v>0</v>
      </c>
      <c r="U189" s="215">
        <v>0</v>
      </c>
      <c r="V189" s="215">
        <v>0</v>
      </c>
      <c r="W189" s="215">
        <v>0</v>
      </c>
      <c r="X189" s="215">
        <v>0</v>
      </c>
      <c r="Y189" s="251">
        <v>0</v>
      </c>
      <c r="Z189" s="154">
        <f t="shared" si="111"/>
        <v>0</v>
      </c>
      <c r="AA189" s="156">
        <f t="shared" si="112"/>
        <v>0</v>
      </c>
      <c r="AB189" s="795">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796">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069">
        <f t="shared" si="113"/>
        <v>0</v>
      </c>
      <c r="AE189" s="784">
        <f t="shared" si="106"/>
        <v>0</v>
      </c>
      <c r="AF189" s="784">
        <f t="shared" si="107"/>
        <v>0</v>
      </c>
      <c r="AG189" s="784">
        <f t="shared" si="108"/>
        <v>0</v>
      </c>
      <c r="AH189" s="1015">
        <f t="shared" si="114"/>
        <v>0</v>
      </c>
      <c r="AI189" s="784">
        <f t="shared" si="115"/>
        <v>0</v>
      </c>
    </row>
    <row r="190" spans="1:39" x14ac:dyDescent="0.2">
      <c r="A190" s="202">
        <v>2017</v>
      </c>
      <c r="B190" s="216">
        <v>0</v>
      </c>
      <c r="C190" s="217">
        <v>0</v>
      </c>
      <c r="D190" s="217">
        <v>0</v>
      </c>
      <c r="E190" s="217">
        <v>0</v>
      </c>
      <c r="F190" s="217">
        <v>0</v>
      </c>
      <c r="G190" s="217">
        <v>0</v>
      </c>
      <c r="H190" s="217">
        <v>0</v>
      </c>
      <c r="I190" s="217">
        <v>0</v>
      </c>
      <c r="J190" s="217">
        <v>0</v>
      </c>
      <c r="K190" s="217">
        <v>0</v>
      </c>
      <c r="L190" s="252">
        <v>0</v>
      </c>
      <c r="M190" s="168">
        <f t="shared" si="109"/>
        <v>0</v>
      </c>
      <c r="N190" s="170">
        <f t="shared" si="110"/>
        <v>0</v>
      </c>
      <c r="O190" s="216">
        <v>0</v>
      </c>
      <c r="P190" s="217">
        <v>0</v>
      </c>
      <c r="Q190" s="217">
        <v>0</v>
      </c>
      <c r="R190" s="217">
        <v>0</v>
      </c>
      <c r="S190" s="217">
        <v>0</v>
      </c>
      <c r="T190" s="217">
        <v>0</v>
      </c>
      <c r="U190" s="217">
        <v>0</v>
      </c>
      <c r="V190" s="217">
        <v>0</v>
      </c>
      <c r="W190" s="217">
        <v>0</v>
      </c>
      <c r="X190" s="217">
        <v>0</v>
      </c>
      <c r="Y190" s="252">
        <v>0</v>
      </c>
      <c r="Z190" s="168">
        <f t="shared" si="111"/>
        <v>0</v>
      </c>
      <c r="AA190" s="170">
        <f t="shared" si="112"/>
        <v>0</v>
      </c>
      <c r="AB190" s="795">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796">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069">
        <f t="shared" si="113"/>
        <v>0</v>
      </c>
      <c r="AE190" s="784">
        <f t="shared" si="106"/>
        <v>0</v>
      </c>
      <c r="AF190" s="784">
        <f t="shared" si="107"/>
        <v>0</v>
      </c>
      <c r="AG190" s="784">
        <f t="shared" si="108"/>
        <v>0</v>
      </c>
      <c r="AH190" s="1015">
        <f t="shared" si="114"/>
        <v>0</v>
      </c>
      <c r="AI190" s="784">
        <f t="shared" si="115"/>
        <v>0</v>
      </c>
    </row>
    <row r="191" spans="1:39" x14ac:dyDescent="0.2">
      <c r="A191" s="202">
        <v>2018</v>
      </c>
      <c r="B191" s="216">
        <v>0</v>
      </c>
      <c r="C191" s="217">
        <v>0</v>
      </c>
      <c r="D191" s="217">
        <v>0</v>
      </c>
      <c r="E191" s="217">
        <v>0</v>
      </c>
      <c r="F191" s="217">
        <v>0</v>
      </c>
      <c r="G191" s="217">
        <v>0</v>
      </c>
      <c r="H191" s="217">
        <v>0</v>
      </c>
      <c r="I191" s="217">
        <v>0</v>
      </c>
      <c r="J191" s="217">
        <v>0</v>
      </c>
      <c r="K191" s="217">
        <v>0</v>
      </c>
      <c r="L191" s="252">
        <v>0</v>
      </c>
      <c r="M191" s="168">
        <f t="shared" si="109"/>
        <v>0</v>
      </c>
      <c r="N191" s="170">
        <f t="shared" si="110"/>
        <v>0</v>
      </c>
      <c r="O191" s="216">
        <v>0</v>
      </c>
      <c r="P191" s="217">
        <v>0</v>
      </c>
      <c r="Q191" s="217">
        <v>0</v>
      </c>
      <c r="R191" s="217">
        <v>0</v>
      </c>
      <c r="S191" s="217">
        <v>0</v>
      </c>
      <c r="T191" s="217">
        <v>0</v>
      </c>
      <c r="U191" s="217">
        <v>0</v>
      </c>
      <c r="V191" s="217">
        <v>0</v>
      </c>
      <c r="W191" s="217">
        <v>0</v>
      </c>
      <c r="X191" s="217">
        <v>0</v>
      </c>
      <c r="Y191" s="252">
        <v>0</v>
      </c>
      <c r="Z191" s="168">
        <f t="shared" si="111"/>
        <v>0</v>
      </c>
      <c r="AA191" s="170">
        <f t="shared" si="112"/>
        <v>0</v>
      </c>
      <c r="AB191" s="795">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796">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069">
        <f t="shared" si="113"/>
        <v>0</v>
      </c>
      <c r="AE191" s="784">
        <f t="shared" si="106"/>
        <v>0</v>
      </c>
      <c r="AF191" s="784">
        <f t="shared" si="107"/>
        <v>0</v>
      </c>
      <c r="AG191" s="784">
        <f t="shared" si="108"/>
        <v>0</v>
      </c>
      <c r="AH191" s="1015">
        <f t="shared" si="114"/>
        <v>0</v>
      </c>
      <c r="AI191" s="784">
        <f t="shared" si="115"/>
        <v>0</v>
      </c>
    </row>
    <row r="192" spans="1:39" x14ac:dyDescent="0.2">
      <c r="A192" s="202">
        <v>2019</v>
      </c>
      <c r="B192" s="216">
        <v>0</v>
      </c>
      <c r="C192" s="217">
        <v>0</v>
      </c>
      <c r="D192" s="217">
        <v>0</v>
      </c>
      <c r="E192" s="217">
        <v>0</v>
      </c>
      <c r="F192" s="217">
        <v>0</v>
      </c>
      <c r="G192" s="217">
        <v>0</v>
      </c>
      <c r="H192" s="217">
        <v>0</v>
      </c>
      <c r="I192" s="217">
        <v>0</v>
      </c>
      <c r="J192" s="217">
        <v>0</v>
      </c>
      <c r="K192" s="217">
        <v>0</v>
      </c>
      <c r="L192" s="252">
        <v>0</v>
      </c>
      <c r="M192" s="168">
        <f t="shared" si="109"/>
        <v>0</v>
      </c>
      <c r="N192" s="170">
        <f t="shared" si="110"/>
        <v>0</v>
      </c>
      <c r="O192" s="216">
        <v>0</v>
      </c>
      <c r="P192" s="217">
        <v>0</v>
      </c>
      <c r="Q192" s="217">
        <v>0</v>
      </c>
      <c r="R192" s="217">
        <v>0</v>
      </c>
      <c r="S192" s="217">
        <v>0</v>
      </c>
      <c r="T192" s="217">
        <v>0</v>
      </c>
      <c r="U192" s="217">
        <v>0</v>
      </c>
      <c r="V192" s="217">
        <v>0</v>
      </c>
      <c r="W192" s="217">
        <v>0</v>
      </c>
      <c r="X192" s="217">
        <v>0</v>
      </c>
      <c r="Y192" s="252">
        <v>0</v>
      </c>
      <c r="Z192" s="168">
        <f t="shared" si="111"/>
        <v>0</v>
      </c>
      <c r="AA192" s="170">
        <f t="shared" si="112"/>
        <v>0</v>
      </c>
      <c r="AB192" s="795">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796">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069">
        <f t="shared" si="113"/>
        <v>0</v>
      </c>
      <c r="AE192" s="784">
        <f t="shared" si="106"/>
        <v>0</v>
      </c>
      <c r="AF192" s="784">
        <f t="shared" si="107"/>
        <v>0</v>
      </c>
      <c r="AG192" s="784">
        <f t="shared" si="108"/>
        <v>0</v>
      </c>
      <c r="AH192" s="1015">
        <f t="shared" si="114"/>
        <v>0</v>
      </c>
      <c r="AI192" s="784">
        <f t="shared" si="115"/>
        <v>0</v>
      </c>
    </row>
    <row r="193" spans="1:35" ht="13.5" thickBot="1" x14ac:dyDescent="0.25">
      <c r="A193" s="200">
        <v>2020</v>
      </c>
      <c r="B193" s="218">
        <v>0</v>
      </c>
      <c r="C193" s="219">
        <v>0</v>
      </c>
      <c r="D193" s="219">
        <v>0</v>
      </c>
      <c r="E193" s="219">
        <v>0</v>
      </c>
      <c r="F193" s="219">
        <v>0</v>
      </c>
      <c r="G193" s="219">
        <v>0</v>
      </c>
      <c r="H193" s="219">
        <v>0</v>
      </c>
      <c r="I193" s="219">
        <v>0</v>
      </c>
      <c r="J193" s="219">
        <v>0</v>
      </c>
      <c r="K193" s="219">
        <v>0</v>
      </c>
      <c r="L193" s="253">
        <v>0</v>
      </c>
      <c r="M193" s="182">
        <f t="shared" si="109"/>
        <v>0</v>
      </c>
      <c r="N193" s="184">
        <f t="shared" si="110"/>
        <v>0</v>
      </c>
      <c r="O193" s="218">
        <v>0</v>
      </c>
      <c r="P193" s="219">
        <v>0</v>
      </c>
      <c r="Q193" s="219">
        <v>0</v>
      </c>
      <c r="R193" s="219">
        <v>0</v>
      </c>
      <c r="S193" s="219">
        <v>0</v>
      </c>
      <c r="T193" s="219">
        <v>0</v>
      </c>
      <c r="U193" s="219">
        <v>0</v>
      </c>
      <c r="V193" s="219">
        <v>0</v>
      </c>
      <c r="W193" s="219">
        <v>0</v>
      </c>
      <c r="X193" s="219">
        <v>0</v>
      </c>
      <c r="Y193" s="253">
        <v>0</v>
      </c>
      <c r="Z193" s="182">
        <f t="shared" si="111"/>
        <v>0</v>
      </c>
      <c r="AA193" s="184">
        <f t="shared" si="112"/>
        <v>0</v>
      </c>
      <c r="AB193" s="795">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796">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069">
        <f t="shared" si="113"/>
        <v>0</v>
      </c>
      <c r="AE193" s="784">
        <f t="shared" si="106"/>
        <v>0</v>
      </c>
      <c r="AF193" s="784">
        <f t="shared" si="107"/>
        <v>0</v>
      </c>
      <c r="AG193" s="784">
        <f t="shared" si="108"/>
        <v>0</v>
      </c>
      <c r="AH193" s="1015">
        <f t="shared" si="114"/>
        <v>0</v>
      </c>
      <c r="AI193" s="784">
        <f t="shared" si="115"/>
        <v>0</v>
      </c>
    </row>
    <row r="194" spans="1:35" x14ac:dyDescent="0.2">
      <c r="A194" s="201">
        <v>2021</v>
      </c>
      <c r="B194" s="214">
        <v>0</v>
      </c>
      <c r="C194" s="215">
        <v>0</v>
      </c>
      <c r="D194" s="215">
        <v>0</v>
      </c>
      <c r="E194" s="215">
        <v>0</v>
      </c>
      <c r="F194" s="215">
        <v>0</v>
      </c>
      <c r="G194" s="215">
        <v>0</v>
      </c>
      <c r="H194" s="215">
        <v>0</v>
      </c>
      <c r="I194" s="215">
        <v>0</v>
      </c>
      <c r="J194" s="215">
        <v>0</v>
      </c>
      <c r="K194" s="215">
        <v>0</v>
      </c>
      <c r="L194" s="251">
        <v>0</v>
      </c>
      <c r="M194" s="154">
        <f t="shared" si="109"/>
        <v>0</v>
      </c>
      <c r="N194" s="156">
        <f t="shared" si="110"/>
        <v>0</v>
      </c>
      <c r="O194" s="214">
        <v>0</v>
      </c>
      <c r="P194" s="215">
        <v>0</v>
      </c>
      <c r="Q194" s="215">
        <v>0</v>
      </c>
      <c r="R194" s="215">
        <v>0</v>
      </c>
      <c r="S194" s="215">
        <v>0</v>
      </c>
      <c r="T194" s="215">
        <v>0</v>
      </c>
      <c r="U194" s="215">
        <v>0</v>
      </c>
      <c r="V194" s="215">
        <v>0</v>
      </c>
      <c r="W194" s="215">
        <v>0</v>
      </c>
      <c r="X194" s="215">
        <v>0</v>
      </c>
      <c r="Y194" s="251">
        <v>0</v>
      </c>
      <c r="Z194" s="154">
        <f t="shared" si="111"/>
        <v>0</v>
      </c>
      <c r="AA194" s="156">
        <f t="shared" si="112"/>
        <v>0</v>
      </c>
      <c r="AB194" s="795">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796">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069">
        <f t="shared" si="113"/>
        <v>0</v>
      </c>
      <c r="AE194" s="784">
        <f t="shared" si="106"/>
        <v>0</v>
      </c>
      <c r="AF194" s="784">
        <f t="shared" si="107"/>
        <v>0</v>
      </c>
      <c r="AG194" s="784">
        <f t="shared" si="108"/>
        <v>0</v>
      </c>
      <c r="AH194" s="1015">
        <f t="shared" si="114"/>
        <v>0</v>
      </c>
      <c r="AI194" s="784">
        <f t="shared" si="115"/>
        <v>0</v>
      </c>
    </row>
    <row r="195" spans="1:35" x14ac:dyDescent="0.2">
      <c r="A195" s="202">
        <v>2022</v>
      </c>
      <c r="B195" s="216">
        <v>0</v>
      </c>
      <c r="C195" s="217">
        <v>0</v>
      </c>
      <c r="D195" s="217">
        <v>0</v>
      </c>
      <c r="E195" s="217">
        <v>0</v>
      </c>
      <c r="F195" s="217">
        <v>0</v>
      </c>
      <c r="G195" s="217">
        <v>0</v>
      </c>
      <c r="H195" s="217">
        <v>0</v>
      </c>
      <c r="I195" s="217">
        <v>0</v>
      </c>
      <c r="J195" s="217">
        <v>0</v>
      </c>
      <c r="K195" s="217">
        <v>0</v>
      </c>
      <c r="L195" s="252">
        <v>0</v>
      </c>
      <c r="M195" s="168">
        <f t="shared" si="109"/>
        <v>0</v>
      </c>
      <c r="N195" s="170">
        <f t="shared" si="110"/>
        <v>0</v>
      </c>
      <c r="O195" s="216">
        <v>0</v>
      </c>
      <c r="P195" s="217">
        <v>0</v>
      </c>
      <c r="Q195" s="217">
        <v>0</v>
      </c>
      <c r="R195" s="217">
        <v>0</v>
      </c>
      <c r="S195" s="217">
        <v>0</v>
      </c>
      <c r="T195" s="217">
        <v>0</v>
      </c>
      <c r="U195" s="217">
        <v>0</v>
      </c>
      <c r="V195" s="217">
        <v>0</v>
      </c>
      <c r="W195" s="217">
        <v>0</v>
      </c>
      <c r="X195" s="217">
        <v>0</v>
      </c>
      <c r="Y195" s="252">
        <v>0</v>
      </c>
      <c r="Z195" s="168">
        <f t="shared" si="111"/>
        <v>0</v>
      </c>
      <c r="AA195" s="170">
        <f t="shared" si="112"/>
        <v>0</v>
      </c>
      <c r="AB195" s="795">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796">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069">
        <f t="shared" si="113"/>
        <v>0</v>
      </c>
      <c r="AE195" s="784">
        <f>SUMPRODUCT($B$74:$L$74,B195:L195)</f>
        <v>0</v>
      </c>
      <c r="AF195" s="784">
        <f>SUMPRODUCT($O$74:$Y$74,O195:Y195)</f>
        <v>0</v>
      </c>
      <c r="AG195" s="784">
        <f>SUM(AE195:AF195)</f>
        <v>0</v>
      </c>
      <c r="AH195" s="1015">
        <f t="shared" si="114"/>
        <v>0</v>
      </c>
      <c r="AI195" s="784">
        <f t="shared" si="115"/>
        <v>0</v>
      </c>
    </row>
    <row r="196" spans="1:35" x14ac:dyDescent="0.2">
      <c r="A196" s="202">
        <v>2023</v>
      </c>
      <c r="B196" s="216">
        <v>0</v>
      </c>
      <c r="C196" s="217">
        <v>0</v>
      </c>
      <c r="D196" s="217">
        <v>0</v>
      </c>
      <c r="E196" s="217">
        <v>0</v>
      </c>
      <c r="F196" s="217">
        <v>0</v>
      </c>
      <c r="G196" s="217">
        <v>0</v>
      </c>
      <c r="H196" s="217">
        <v>0</v>
      </c>
      <c r="I196" s="217">
        <v>0</v>
      </c>
      <c r="J196" s="217">
        <v>0</v>
      </c>
      <c r="K196" s="217">
        <v>0</v>
      </c>
      <c r="L196" s="252">
        <v>0</v>
      </c>
      <c r="M196" s="168">
        <f t="shared" si="109"/>
        <v>0</v>
      </c>
      <c r="N196" s="170">
        <f t="shared" si="110"/>
        <v>0</v>
      </c>
      <c r="O196" s="216">
        <v>0</v>
      </c>
      <c r="P196" s="217">
        <v>0</v>
      </c>
      <c r="Q196" s="217">
        <v>0</v>
      </c>
      <c r="R196" s="217">
        <v>0</v>
      </c>
      <c r="S196" s="217">
        <v>0</v>
      </c>
      <c r="T196" s="217">
        <v>0</v>
      </c>
      <c r="U196" s="217">
        <v>0</v>
      </c>
      <c r="V196" s="217">
        <v>0</v>
      </c>
      <c r="W196" s="217">
        <v>0</v>
      </c>
      <c r="X196" s="217">
        <v>0</v>
      </c>
      <c r="Y196" s="252">
        <v>0</v>
      </c>
      <c r="Z196" s="168">
        <f t="shared" si="111"/>
        <v>0</v>
      </c>
      <c r="AA196" s="170">
        <f t="shared" si="112"/>
        <v>0</v>
      </c>
      <c r="AB196" s="795">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796">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069">
        <f t="shared" si="113"/>
        <v>0</v>
      </c>
      <c r="AE196" s="784">
        <f t="shared" ref="AE196:AE222" si="116">SUMPRODUCT($B$74:$L$74,B196:L196)</f>
        <v>0</v>
      </c>
      <c r="AF196" s="784">
        <f t="shared" ref="AF196:AF222" si="117">SUMPRODUCT($O$74:$Y$74,O196:Y196)</f>
        <v>0</v>
      </c>
      <c r="AG196" s="784">
        <f t="shared" ref="AG196:AG222" si="118">SUM(AE196:AF196)</f>
        <v>0</v>
      </c>
      <c r="AH196" s="1015">
        <f t="shared" si="114"/>
        <v>0</v>
      </c>
      <c r="AI196" s="784">
        <f t="shared" si="115"/>
        <v>0</v>
      </c>
    </row>
    <row r="197" spans="1:35" x14ac:dyDescent="0.2">
      <c r="A197" s="202">
        <v>2024</v>
      </c>
      <c r="B197" s="216">
        <v>0</v>
      </c>
      <c r="C197" s="217">
        <v>0</v>
      </c>
      <c r="D197" s="217">
        <v>0</v>
      </c>
      <c r="E197" s="217">
        <v>0</v>
      </c>
      <c r="F197" s="217">
        <v>0</v>
      </c>
      <c r="G197" s="217">
        <v>0</v>
      </c>
      <c r="H197" s="217">
        <v>0</v>
      </c>
      <c r="I197" s="217">
        <v>0</v>
      </c>
      <c r="J197" s="217">
        <v>0</v>
      </c>
      <c r="K197" s="217">
        <v>0</v>
      </c>
      <c r="L197" s="252">
        <v>0</v>
      </c>
      <c r="M197" s="168">
        <f t="shared" si="109"/>
        <v>0</v>
      </c>
      <c r="N197" s="170">
        <f t="shared" si="110"/>
        <v>0</v>
      </c>
      <c r="O197" s="216">
        <v>0</v>
      </c>
      <c r="P197" s="217">
        <v>0</v>
      </c>
      <c r="Q197" s="217">
        <v>0</v>
      </c>
      <c r="R197" s="217">
        <v>0</v>
      </c>
      <c r="S197" s="217">
        <v>0</v>
      </c>
      <c r="T197" s="217">
        <v>0</v>
      </c>
      <c r="U197" s="217">
        <v>0</v>
      </c>
      <c r="V197" s="217">
        <v>0</v>
      </c>
      <c r="W197" s="217">
        <v>0</v>
      </c>
      <c r="X197" s="217">
        <v>0</v>
      </c>
      <c r="Y197" s="252">
        <v>0</v>
      </c>
      <c r="Z197" s="168">
        <f t="shared" si="111"/>
        <v>0</v>
      </c>
      <c r="AA197" s="170">
        <f t="shared" si="112"/>
        <v>0</v>
      </c>
      <c r="AB197" s="795">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796">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069">
        <f t="shared" si="113"/>
        <v>0</v>
      </c>
      <c r="AE197" s="784">
        <f t="shared" si="116"/>
        <v>0</v>
      </c>
      <c r="AF197" s="784">
        <f t="shared" si="117"/>
        <v>0</v>
      </c>
      <c r="AG197" s="784">
        <f t="shared" si="118"/>
        <v>0</v>
      </c>
      <c r="AH197" s="1015">
        <f t="shared" si="114"/>
        <v>0</v>
      </c>
      <c r="AI197" s="784">
        <f t="shared" si="115"/>
        <v>0</v>
      </c>
    </row>
    <row r="198" spans="1:35" ht="13.5" thickBot="1" x14ac:dyDescent="0.25">
      <c r="A198" s="200">
        <v>2025</v>
      </c>
      <c r="B198" s="218">
        <v>0</v>
      </c>
      <c r="C198" s="219">
        <v>0</v>
      </c>
      <c r="D198" s="219">
        <v>0</v>
      </c>
      <c r="E198" s="219">
        <v>0</v>
      </c>
      <c r="F198" s="219">
        <v>0</v>
      </c>
      <c r="G198" s="219">
        <v>0</v>
      </c>
      <c r="H198" s="219">
        <v>0</v>
      </c>
      <c r="I198" s="219">
        <v>0</v>
      </c>
      <c r="J198" s="219">
        <v>0</v>
      </c>
      <c r="K198" s="219">
        <v>0</v>
      </c>
      <c r="L198" s="253">
        <v>0</v>
      </c>
      <c r="M198" s="182">
        <f t="shared" si="109"/>
        <v>0</v>
      </c>
      <c r="N198" s="184">
        <f t="shared" si="110"/>
        <v>0</v>
      </c>
      <c r="O198" s="218">
        <v>0</v>
      </c>
      <c r="P198" s="219">
        <v>0</v>
      </c>
      <c r="Q198" s="219">
        <v>0</v>
      </c>
      <c r="R198" s="219">
        <v>0</v>
      </c>
      <c r="S198" s="219">
        <v>0</v>
      </c>
      <c r="T198" s="219">
        <v>0</v>
      </c>
      <c r="U198" s="219">
        <v>0</v>
      </c>
      <c r="V198" s="219">
        <v>0</v>
      </c>
      <c r="W198" s="219">
        <v>0</v>
      </c>
      <c r="X198" s="219">
        <v>0</v>
      </c>
      <c r="Y198" s="253">
        <v>0</v>
      </c>
      <c r="Z198" s="182">
        <f t="shared" si="111"/>
        <v>0</v>
      </c>
      <c r="AA198" s="184">
        <f t="shared" si="112"/>
        <v>0</v>
      </c>
      <c r="AB198" s="795">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796">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069">
        <f t="shared" si="113"/>
        <v>0</v>
      </c>
      <c r="AE198" s="784">
        <f t="shared" si="116"/>
        <v>0</v>
      </c>
      <c r="AF198" s="784">
        <f t="shared" si="117"/>
        <v>0</v>
      </c>
      <c r="AG198" s="784">
        <f t="shared" si="118"/>
        <v>0</v>
      </c>
      <c r="AH198" s="1015">
        <f t="shared" si="114"/>
        <v>0</v>
      </c>
      <c r="AI198" s="784">
        <f t="shared" si="115"/>
        <v>0</v>
      </c>
    </row>
    <row r="199" spans="1:35" x14ac:dyDescent="0.2">
      <c r="A199" s="201">
        <v>2026</v>
      </c>
      <c r="B199" s="214">
        <v>0</v>
      </c>
      <c r="C199" s="215">
        <v>0</v>
      </c>
      <c r="D199" s="215">
        <v>0</v>
      </c>
      <c r="E199" s="215">
        <v>0</v>
      </c>
      <c r="F199" s="215">
        <v>0</v>
      </c>
      <c r="G199" s="215">
        <v>0</v>
      </c>
      <c r="H199" s="215">
        <v>0</v>
      </c>
      <c r="I199" s="215">
        <v>0</v>
      </c>
      <c r="J199" s="215">
        <v>0</v>
      </c>
      <c r="K199" s="215">
        <v>0</v>
      </c>
      <c r="L199" s="251">
        <v>0</v>
      </c>
      <c r="M199" s="154">
        <f t="shared" si="109"/>
        <v>0</v>
      </c>
      <c r="N199" s="156">
        <f t="shared" si="110"/>
        <v>0</v>
      </c>
      <c r="O199" s="214">
        <v>0</v>
      </c>
      <c r="P199" s="215">
        <v>0</v>
      </c>
      <c r="Q199" s="215">
        <v>0</v>
      </c>
      <c r="R199" s="215">
        <v>0</v>
      </c>
      <c r="S199" s="215">
        <v>0</v>
      </c>
      <c r="T199" s="215">
        <v>0</v>
      </c>
      <c r="U199" s="215">
        <v>0</v>
      </c>
      <c r="V199" s="215">
        <v>0</v>
      </c>
      <c r="W199" s="215">
        <v>0</v>
      </c>
      <c r="X199" s="215">
        <v>0</v>
      </c>
      <c r="Y199" s="251">
        <v>0</v>
      </c>
      <c r="Z199" s="154">
        <f t="shared" si="111"/>
        <v>0</v>
      </c>
      <c r="AA199" s="156">
        <f t="shared" si="112"/>
        <v>0</v>
      </c>
      <c r="AB199" s="795">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796">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069">
        <f t="shared" si="113"/>
        <v>0</v>
      </c>
      <c r="AE199" s="784">
        <f t="shared" si="116"/>
        <v>0</v>
      </c>
      <c r="AF199" s="784">
        <f t="shared" si="117"/>
        <v>0</v>
      </c>
      <c r="AG199" s="784">
        <f t="shared" si="118"/>
        <v>0</v>
      </c>
      <c r="AH199" s="1015">
        <f t="shared" si="114"/>
        <v>0</v>
      </c>
      <c r="AI199" s="784">
        <f t="shared" si="115"/>
        <v>0</v>
      </c>
    </row>
    <row r="200" spans="1:35" x14ac:dyDescent="0.2">
      <c r="A200" s="202">
        <v>2027</v>
      </c>
      <c r="B200" s="216">
        <v>0</v>
      </c>
      <c r="C200" s="217">
        <v>0</v>
      </c>
      <c r="D200" s="217">
        <v>0</v>
      </c>
      <c r="E200" s="217">
        <v>0</v>
      </c>
      <c r="F200" s="217">
        <v>0</v>
      </c>
      <c r="G200" s="217">
        <v>0</v>
      </c>
      <c r="H200" s="217">
        <v>0</v>
      </c>
      <c r="I200" s="217">
        <v>0</v>
      </c>
      <c r="J200" s="217">
        <v>0</v>
      </c>
      <c r="K200" s="217">
        <v>0</v>
      </c>
      <c r="L200" s="252">
        <v>0</v>
      </c>
      <c r="M200" s="168">
        <f t="shared" si="109"/>
        <v>0</v>
      </c>
      <c r="N200" s="170">
        <f t="shared" si="110"/>
        <v>0</v>
      </c>
      <c r="O200" s="216">
        <v>0</v>
      </c>
      <c r="P200" s="217">
        <v>0</v>
      </c>
      <c r="Q200" s="217">
        <v>0</v>
      </c>
      <c r="R200" s="217">
        <v>0</v>
      </c>
      <c r="S200" s="217">
        <v>0</v>
      </c>
      <c r="T200" s="217">
        <v>0</v>
      </c>
      <c r="U200" s="217">
        <v>0</v>
      </c>
      <c r="V200" s="217">
        <v>0</v>
      </c>
      <c r="W200" s="217">
        <v>0</v>
      </c>
      <c r="X200" s="217">
        <v>0</v>
      </c>
      <c r="Y200" s="252">
        <v>0</v>
      </c>
      <c r="Z200" s="168">
        <f t="shared" si="111"/>
        <v>0</v>
      </c>
      <c r="AA200" s="170">
        <f t="shared" si="112"/>
        <v>0</v>
      </c>
      <c r="AB200" s="795">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796">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069">
        <f t="shared" si="113"/>
        <v>0</v>
      </c>
      <c r="AE200" s="784">
        <f t="shared" si="116"/>
        <v>0</v>
      </c>
      <c r="AF200" s="784">
        <f t="shared" si="117"/>
        <v>0</v>
      </c>
      <c r="AG200" s="784">
        <f t="shared" si="118"/>
        <v>0</v>
      </c>
      <c r="AH200" s="1015">
        <f t="shared" ref="AH200:AH222" si="119">IF(AG200&gt;0,AE200/AG200,0)</f>
        <v>0</v>
      </c>
      <c r="AI200" s="784">
        <f t="shared" ref="AI200:AI222" si="120">IF(AG200&gt;0,AF200/AG200,0)</f>
        <v>0</v>
      </c>
    </row>
    <row r="201" spans="1:35" x14ac:dyDescent="0.2">
      <c r="A201" s="202">
        <v>2028</v>
      </c>
      <c r="B201" s="216">
        <v>0</v>
      </c>
      <c r="C201" s="217">
        <v>0</v>
      </c>
      <c r="D201" s="217">
        <v>0</v>
      </c>
      <c r="E201" s="217">
        <v>0</v>
      </c>
      <c r="F201" s="217">
        <v>0</v>
      </c>
      <c r="G201" s="217">
        <v>0</v>
      </c>
      <c r="H201" s="217">
        <v>0</v>
      </c>
      <c r="I201" s="217">
        <v>0</v>
      </c>
      <c r="J201" s="217">
        <v>0</v>
      </c>
      <c r="K201" s="217">
        <v>0</v>
      </c>
      <c r="L201" s="252">
        <v>0</v>
      </c>
      <c r="M201" s="168">
        <f t="shared" si="109"/>
        <v>0</v>
      </c>
      <c r="N201" s="170">
        <f t="shared" si="110"/>
        <v>0</v>
      </c>
      <c r="O201" s="216">
        <v>0</v>
      </c>
      <c r="P201" s="217">
        <v>0</v>
      </c>
      <c r="Q201" s="217">
        <v>0</v>
      </c>
      <c r="R201" s="217">
        <v>0</v>
      </c>
      <c r="S201" s="217">
        <v>0</v>
      </c>
      <c r="T201" s="217">
        <v>0</v>
      </c>
      <c r="U201" s="217">
        <v>0</v>
      </c>
      <c r="V201" s="217">
        <v>0</v>
      </c>
      <c r="W201" s="217">
        <v>0</v>
      </c>
      <c r="X201" s="217">
        <v>0</v>
      </c>
      <c r="Y201" s="252">
        <v>0</v>
      </c>
      <c r="Z201" s="168">
        <f t="shared" si="111"/>
        <v>0</v>
      </c>
      <c r="AA201" s="170">
        <f t="shared" si="112"/>
        <v>0</v>
      </c>
      <c r="AB201" s="795">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796">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069">
        <f t="shared" si="113"/>
        <v>0</v>
      </c>
      <c r="AE201" s="784">
        <f t="shared" si="116"/>
        <v>0</v>
      </c>
      <c r="AF201" s="784">
        <f t="shared" si="117"/>
        <v>0</v>
      </c>
      <c r="AG201" s="784">
        <f t="shared" si="118"/>
        <v>0</v>
      </c>
      <c r="AH201" s="1015">
        <f t="shared" si="119"/>
        <v>0</v>
      </c>
      <c r="AI201" s="784">
        <f t="shared" si="120"/>
        <v>0</v>
      </c>
    </row>
    <row r="202" spans="1:35" x14ac:dyDescent="0.2">
      <c r="A202" s="202">
        <v>2029</v>
      </c>
      <c r="B202" s="216">
        <v>0</v>
      </c>
      <c r="C202" s="217">
        <v>0</v>
      </c>
      <c r="D202" s="217">
        <v>0</v>
      </c>
      <c r="E202" s="217">
        <v>0</v>
      </c>
      <c r="F202" s="217">
        <v>0</v>
      </c>
      <c r="G202" s="217">
        <v>0</v>
      </c>
      <c r="H202" s="217">
        <v>0</v>
      </c>
      <c r="I202" s="217">
        <v>0</v>
      </c>
      <c r="J202" s="217">
        <v>0</v>
      </c>
      <c r="K202" s="217">
        <v>0</v>
      </c>
      <c r="L202" s="252">
        <v>0</v>
      </c>
      <c r="M202" s="168">
        <f t="shared" si="109"/>
        <v>0</v>
      </c>
      <c r="N202" s="170">
        <f t="shared" si="110"/>
        <v>0</v>
      </c>
      <c r="O202" s="216">
        <v>0</v>
      </c>
      <c r="P202" s="217">
        <v>0</v>
      </c>
      <c r="Q202" s="217">
        <v>0</v>
      </c>
      <c r="R202" s="217">
        <v>0</v>
      </c>
      <c r="S202" s="217">
        <v>0</v>
      </c>
      <c r="T202" s="217">
        <v>0</v>
      </c>
      <c r="U202" s="217">
        <v>0</v>
      </c>
      <c r="V202" s="217">
        <v>0</v>
      </c>
      <c r="W202" s="217">
        <v>0</v>
      </c>
      <c r="X202" s="217">
        <v>0</v>
      </c>
      <c r="Y202" s="252">
        <v>0</v>
      </c>
      <c r="Z202" s="168">
        <f t="shared" si="111"/>
        <v>0</v>
      </c>
      <c r="AA202" s="170">
        <f t="shared" si="112"/>
        <v>0</v>
      </c>
      <c r="AB202" s="795">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796">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069">
        <f t="shared" si="113"/>
        <v>0</v>
      </c>
      <c r="AE202" s="784">
        <f t="shared" si="116"/>
        <v>0</v>
      </c>
      <c r="AF202" s="784">
        <f t="shared" si="117"/>
        <v>0</v>
      </c>
      <c r="AG202" s="784">
        <f t="shared" si="118"/>
        <v>0</v>
      </c>
      <c r="AH202" s="1015">
        <f t="shared" si="119"/>
        <v>0</v>
      </c>
      <c r="AI202" s="784">
        <f t="shared" si="120"/>
        <v>0</v>
      </c>
    </row>
    <row r="203" spans="1:35" ht="13.5" thickBot="1" x14ac:dyDescent="0.25">
      <c r="A203" s="200">
        <v>2030</v>
      </c>
      <c r="B203" s="218">
        <v>0</v>
      </c>
      <c r="C203" s="219">
        <v>0</v>
      </c>
      <c r="D203" s="219">
        <v>0</v>
      </c>
      <c r="E203" s="219">
        <v>0</v>
      </c>
      <c r="F203" s="219">
        <v>0</v>
      </c>
      <c r="G203" s="219">
        <v>0</v>
      </c>
      <c r="H203" s="219">
        <v>0</v>
      </c>
      <c r="I203" s="219">
        <v>0</v>
      </c>
      <c r="J203" s="219">
        <v>0</v>
      </c>
      <c r="K203" s="219">
        <v>0</v>
      </c>
      <c r="L203" s="253">
        <v>0</v>
      </c>
      <c r="M203" s="182">
        <f t="shared" si="109"/>
        <v>0</v>
      </c>
      <c r="N203" s="184">
        <f t="shared" si="110"/>
        <v>0</v>
      </c>
      <c r="O203" s="218">
        <v>0</v>
      </c>
      <c r="P203" s="219">
        <v>0</v>
      </c>
      <c r="Q203" s="219">
        <v>0</v>
      </c>
      <c r="R203" s="219">
        <v>0</v>
      </c>
      <c r="S203" s="219">
        <v>0</v>
      </c>
      <c r="T203" s="219">
        <v>0</v>
      </c>
      <c r="U203" s="219">
        <v>0</v>
      </c>
      <c r="V203" s="219">
        <v>0</v>
      </c>
      <c r="W203" s="219">
        <v>0</v>
      </c>
      <c r="X203" s="219">
        <v>0</v>
      </c>
      <c r="Y203" s="253">
        <v>0</v>
      </c>
      <c r="Z203" s="182">
        <f t="shared" si="111"/>
        <v>0</v>
      </c>
      <c r="AA203" s="184">
        <f t="shared" si="112"/>
        <v>0</v>
      </c>
      <c r="AB203" s="795">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796">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069">
        <f t="shared" si="113"/>
        <v>0</v>
      </c>
      <c r="AE203" s="784">
        <f t="shared" si="116"/>
        <v>0</v>
      </c>
      <c r="AF203" s="784">
        <f t="shared" si="117"/>
        <v>0</v>
      </c>
      <c r="AG203" s="784">
        <f t="shared" si="118"/>
        <v>0</v>
      </c>
      <c r="AH203" s="1015">
        <f t="shared" si="119"/>
        <v>0</v>
      </c>
      <c r="AI203" s="784">
        <f t="shared" si="120"/>
        <v>0</v>
      </c>
    </row>
    <row r="204" spans="1:35" x14ac:dyDescent="0.2">
      <c r="A204" s="201">
        <v>2031</v>
      </c>
      <c r="B204" s="214">
        <v>0</v>
      </c>
      <c r="C204" s="215">
        <v>0</v>
      </c>
      <c r="D204" s="215">
        <v>0</v>
      </c>
      <c r="E204" s="215">
        <v>0</v>
      </c>
      <c r="F204" s="215">
        <v>0</v>
      </c>
      <c r="G204" s="215">
        <v>0</v>
      </c>
      <c r="H204" s="215">
        <v>0</v>
      </c>
      <c r="I204" s="215">
        <v>0</v>
      </c>
      <c r="J204" s="215">
        <v>0</v>
      </c>
      <c r="K204" s="215">
        <v>0</v>
      </c>
      <c r="L204" s="251">
        <v>0</v>
      </c>
      <c r="M204" s="154">
        <f t="shared" si="109"/>
        <v>0</v>
      </c>
      <c r="N204" s="156">
        <f t="shared" si="110"/>
        <v>0</v>
      </c>
      <c r="O204" s="214">
        <v>0</v>
      </c>
      <c r="P204" s="215">
        <v>0</v>
      </c>
      <c r="Q204" s="215">
        <v>0</v>
      </c>
      <c r="R204" s="215">
        <v>0</v>
      </c>
      <c r="S204" s="215">
        <v>0</v>
      </c>
      <c r="T204" s="215">
        <v>0</v>
      </c>
      <c r="U204" s="215">
        <v>0</v>
      </c>
      <c r="V204" s="215">
        <v>0</v>
      </c>
      <c r="W204" s="215">
        <v>0</v>
      </c>
      <c r="X204" s="215">
        <v>0</v>
      </c>
      <c r="Y204" s="251">
        <v>0</v>
      </c>
      <c r="Z204" s="154">
        <f t="shared" si="111"/>
        <v>0</v>
      </c>
      <c r="AA204" s="156">
        <f t="shared" si="112"/>
        <v>0</v>
      </c>
      <c r="AB204" s="795">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796">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069">
        <f t="shared" si="113"/>
        <v>0</v>
      </c>
      <c r="AE204" s="784">
        <f t="shared" si="116"/>
        <v>0</v>
      </c>
      <c r="AF204" s="784">
        <f t="shared" si="117"/>
        <v>0</v>
      </c>
      <c r="AG204" s="784">
        <f t="shared" si="118"/>
        <v>0</v>
      </c>
      <c r="AH204" s="1015">
        <f t="shared" si="119"/>
        <v>0</v>
      </c>
      <c r="AI204" s="784">
        <f t="shared" si="120"/>
        <v>0</v>
      </c>
    </row>
    <row r="205" spans="1:35" x14ac:dyDescent="0.2">
      <c r="A205" s="202">
        <v>2032</v>
      </c>
      <c r="B205" s="216">
        <v>0</v>
      </c>
      <c r="C205" s="217">
        <v>0</v>
      </c>
      <c r="D205" s="217">
        <v>0</v>
      </c>
      <c r="E205" s="217">
        <v>0</v>
      </c>
      <c r="F205" s="217">
        <v>0</v>
      </c>
      <c r="G205" s="217">
        <v>0</v>
      </c>
      <c r="H205" s="217">
        <v>0</v>
      </c>
      <c r="I205" s="217">
        <v>0</v>
      </c>
      <c r="J205" s="217">
        <v>0</v>
      </c>
      <c r="K205" s="217">
        <v>0</v>
      </c>
      <c r="L205" s="252">
        <v>0</v>
      </c>
      <c r="M205" s="168">
        <f t="shared" si="109"/>
        <v>0</v>
      </c>
      <c r="N205" s="170">
        <f t="shared" si="110"/>
        <v>0</v>
      </c>
      <c r="O205" s="216">
        <v>0</v>
      </c>
      <c r="P205" s="217">
        <v>0</v>
      </c>
      <c r="Q205" s="217">
        <v>0</v>
      </c>
      <c r="R205" s="217">
        <v>0</v>
      </c>
      <c r="S205" s="217">
        <v>0</v>
      </c>
      <c r="T205" s="217">
        <v>0</v>
      </c>
      <c r="U205" s="217">
        <v>0</v>
      </c>
      <c r="V205" s="217">
        <v>0</v>
      </c>
      <c r="W205" s="217">
        <v>0</v>
      </c>
      <c r="X205" s="217">
        <v>0</v>
      </c>
      <c r="Y205" s="252">
        <v>0</v>
      </c>
      <c r="Z205" s="168">
        <f t="shared" si="111"/>
        <v>0</v>
      </c>
      <c r="AA205" s="170">
        <f t="shared" si="112"/>
        <v>0</v>
      </c>
      <c r="AB205" s="795">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796">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069">
        <f t="shared" si="113"/>
        <v>0</v>
      </c>
      <c r="AE205" s="784">
        <f t="shared" si="116"/>
        <v>0</v>
      </c>
      <c r="AF205" s="784">
        <f t="shared" si="117"/>
        <v>0</v>
      </c>
      <c r="AG205" s="784">
        <f t="shared" si="118"/>
        <v>0</v>
      </c>
      <c r="AH205" s="1015">
        <f t="shared" si="119"/>
        <v>0</v>
      </c>
      <c r="AI205" s="784">
        <f t="shared" si="120"/>
        <v>0</v>
      </c>
    </row>
    <row r="206" spans="1:35" x14ac:dyDescent="0.2">
      <c r="A206" s="202">
        <v>2033</v>
      </c>
      <c r="B206" s="216">
        <v>0</v>
      </c>
      <c r="C206" s="217">
        <v>0</v>
      </c>
      <c r="D206" s="217">
        <v>0</v>
      </c>
      <c r="E206" s="217">
        <v>0</v>
      </c>
      <c r="F206" s="217">
        <v>0</v>
      </c>
      <c r="G206" s="217">
        <v>0</v>
      </c>
      <c r="H206" s="217">
        <v>0</v>
      </c>
      <c r="I206" s="217">
        <v>0</v>
      </c>
      <c r="J206" s="217">
        <v>0</v>
      </c>
      <c r="K206" s="217">
        <v>0</v>
      </c>
      <c r="L206" s="252">
        <v>0</v>
      </c>
      <c r="M206" s="168">
        <f t="shared" si="109"/>
        <v>0</v>
      </c>
      <c r="N206" s="170">
        <f t="shared" si="110"/>
        <v>0</v>
      </c>
      <c r="O206" s="216">
        <v>0</v>
      </c>
      <c r="P206" s="217">
        <v>0</v>
      </c>
      <c r="Q206" s="217">
        <v>0</v>
      </c>
      <c r="R206" s="217">
        <v>0</v>
      </c>
      <c r="S206" s="217">
        <v>0</v>
      </c>
      <c r="T206" s="217">
        <v>0</v>
      </c>
      <c r="U206" s="217">
        <v>0</v>
      </c>
      <c r="V206" s="217">
        <v>0</v>
      </c>
      <c r="W206" s="217">
        <v>0</v>
      </c>
      <c r="X206" s="217">
        <v>0</v>
      </c>
      <c r="Y206" s="252">
        <v>0</v>
      </c>
      <c r="Z206" s="168">
        <f t="shared" si="111"/>
        <v>0</v>
      </c>
      <c r="AA206" s="170">
        <f t="shared" si="112"/>
        <v>0</v>
      </c>
      <c r="AB206" s="795">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796">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069">
        <f>AB206*AH206+AC206*AI206</f>
        <v>0</v>
      </c>
      <c r="AE206" s="784">
        <f t="shared" si="116"/>
        <v>0</v>
      </c>
      <c r="AF206" s="784">
        <f t="shared" si="117"/>
        <v>0</v>
      </c>
      <c r="AG206" s="784">
        <f t="shared" si="118"/>
        <v>0</v>
      </c>
      <c r="AH206" s="1015">
        <f t="shared" si="119"/>
        <v>0</v>
      </c>
      <c r="AI206" s="784">
        <f t="shared" si="120"/>
        <v>0</v>
      </c>
    </row>
    <row r="207" spans="1:35" x14ac:dyDescent="0.2">
      <c r="A207" s="202">
        <v>2034</v>
      </c>
      <c r="B207" s="216">
        <v>0</v>
      </c>
      <c r="C207" s="217">
        <v>0</v>
      </c>
      <c r="D207" s="217">
        <v>0</v>
      </c>
      <c r="E207" s="217">
        <v>0</v>
      </c>
      <c r="F207" s="217">
        <v>0</v>
      </c>
      <c r="G207" s="217">
        <v>0</v>
      </c>
      <c r="H207" s="217">
        <v>0</v>
      </c>
      <c r="I207" s="217">
        <v>0</v>
      </c>
      <c r="J207" s="217">
        <v>0</v>
      </c>
      <c r="K207" s="217">
        <v>0</v>
      </c>
      <c r="L207" s="252">
        <v>0</v>
      </c>
      <c r="M207" s="168">
        <f t="shared" si="109"/>
        <v>0</v>
      </c>
      <c r="N207" s="170">
        <f t="shared" si="110"/>
        <v>0</v>
      </c>
      <c r="O207" s="216">
        <v>0</v>
      </c>
      <c r="P207" s="217">
        <v>0</v>
      </c>
      <c r="Q207" s="217">
        <v>0</v>
      </c>
      <c r="R207" s="217">
        <v>0</v>
      </c>
      <c r="S207" s="217">
        <v>0</v>
      </c>
      <c r="T207" s="217">
        <v>0</v>
      </c>
      <c r="U207" s="217">
        <v>0</v>
      </c>
      <c r="V207" s="217">
        <v>0</v>
      </c>
      <c r="W207" s="217">
        <v>0</v>
      </c>
      <c r="X207" s="217">
        <v>0</v>
      </c>
      <c r="Y207" s="252">
        <v>0</v>
      </c>
      <c r="Z207" s="168">
        <f t="shared" si="111"/>
        <v>0</v>
      </c>
      <c r="AA207" s="170">
        <f t="shared" si="112"/>
        <v>0</v>
      </c>
      <c r="AB207" s="795">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796">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069">
        <f t="shared" ref="AD207:AD223" si="121">AB207*AH207+AC207*AI207</f>
        <v>0</v>
      </c>
      <c r="AE207" s="784">
        <f t="shared" si="116"/>
        <v>0</v>
      </c>
      <c r="AF207" s="784">
        <f t="shared" si="117"/>
        <v>0</v>
      </c>
      <c r="AG207" s="784">
        <f t="shared" si="118"/>
        <v>0</v>
      </c>
      <c r="AH207" s="1015">
        <f t="shared" si="119"/>
        <v>0</v>
      </c>
      <c r="AI207" s="784">
        <f t="shared" si="120"/>
        <v>0</v>
      </c>
    </row>
    <row r="208" spans="1:35" ht="13.5" thickBot="1" x14ac:dyDescent="0.25">
      <c r="A208" s="200">
        <v>2035</v>
      </c>
      <c r="B208" s="218">
        <v>0</v>
      </c>
      <c r="C208" s="219">
        <v>0</v>
      </c>
      <c r="D208" s="219">
        <v>0</v>
      </c>
      <c r="E208" s="219">
        <v>0</v>
      </c>
      <c r="F208" s="219">
        <v>0</v>
      </c>
      <c r="G208" s="219">
        <v>0</v>
      </c>
      <c r="H208" s="219">
        <v>0</v>
      </c>
      <c r="I208" s="219">
        <v>0</v>
      </c>
      <c r="J208" s="219">
        <v>0</v>
      </c>
      <c r="K208" s="219">
        <v>0</v>
      </c>
      <c r="L208" s="253">
        <v>0</v>
      </c>
      <c r="M208" s="182">
        <f t="shared" si="109"/>
        <v>0</v>
      </c>
      <c r="N208" s="184">
        <f t="shared" si="110"/>
        <v>0</v>
      </c>
      <c r="O208" s="218">
        <v>0</v>
      </c>
      <c r="P208" s="219">
        <v>0</v>
      </c>
      <c r="Q208" s="219">
        <v>0</v>
      </c>
      <c r="R208" s="219">
        <v>0</v>
      </c>
      <c r="S208" s="219">
        <v>0</v>
      </c>
      <c r="T208" s="219">
        <v>0</v>
      </c>
      <c r="U208" s="219">
        <v>0</v>
      </c>
      <c r="V208" s="219">
        <v>0</v>
      </c>
      <c r="W208" s="219">
        <v>0</v>
      </c>
      <c r="X208" s="219">
        <v>0</v>
      </c>
      <c r="Y208" s="253">
        <v>0</v>
      </c>
      <c r="Z208" s="182">
        <f t="shared" si="111"/>
        <v>0</v>
      </c>
      <c r="AA208" s="184">
        <f t="shared" si="112"/>
        <v>0</v>
      </c>
      <c r="AB208" s="795">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796">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069">
        <f t="shared" si="121"/>
        <v>0</v>
      </c>
      <c r="AE208" s="784">
        <f t="shared" si="116"/>
        <v>0</v>
      </c>
      <c r="AF208" s="784">
        <f t="shared" si="117"/>
        <v>0</v>
      </c>
      <c r="AG208" s="784">
        <f t="shared" si="118"/>
        <v>0</v>
      </c>
      <c r="AH208" s="1015">
        <f t="shared" si="119"/>
        <v>0</v>
      </c>
      <c r="AI208" s="784">
        <f t="shared" si="120"/>
        <v>0</v>
      </c>
    </row>
    <row r="209" spans="1:35" x14ac:dyDescent="0.2">
      <c r="A209" s="201">
        <v>2036</v>
      </c>
      <c r="B209" s="214">
        <v>0</v>
      </c>
      <c r="C209" s="215">
        <v>0</v>
      </c>
      <c r="D209" s="215">
        <v>0</v>
      </c>
      <c r="E209" s="215">
        <v>0</v>
      </c>
      <c r="F209" s="215">
        <v>0</v>
      </c>
      <c r="G209" s="215">
        <v>0</v>
      </c>
      <c r="H209" s="215">
        <v>0</v>
      </c>
      <c r="I209" s="215">
        <v>0</v>
      </c>
      <c r="J209" s="215">
        <v>0</v>
      </c>
      <c r="K209" s="215">
        <v>0</v>
      </c>
      <c r="L209" s="251">
        <v>0</v>
      </c>
      <c r="M209" s="154">
        <f t="shared" si="109"/>
        <v>0</v>
      </c>
      <c r="N209" s="156">
        <f t="shared" si="110"/>
        <v>0</v>
      </c>
      <c r="O209" s="214">
        <v>0</v>
      </c>
      <c r="P209" s="215">
        <v>0</v>
      </c>
      <c r="Q209" s="215">
        <v>0</v>
      </c>
      <c r="R209" s="215">
        <v>0</v>
      </c>
      <c r="S209" s="215">
        <v>0</v>
      </c>
      <c r="T209" s="215">
        <v>0</v>
      </c>
      <c r="U209" s="215">
        <v>0</v>
      </c>
      <c r="V209" s="215">
        <v>0</v>
      </c>
      <c r="W209" s="215">
        <v>0</v>
      </c>
      <c r="X209" s="215">
        <v>0</v>
      </c>
      <c r="Y209" s="251">
        <v>0</v>
      </c>
      <c r="Z209" s="154">
        <f t="shared" si="111"/>
        <v>0</v>
      </c>
      <c r="AA209" s="156">
        <f t="shared" si="112"/>
        <v>0</v>
      </c>
      <c r="AB209" s="795">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796">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069">
        <f t="shared" si="121"/>
        <v>0</v>
      </c>
      <c r="AE209" s="784">
        <f t="shared" si="116"/>
        <v>0</v>
      </c>
      <c r="AF209" s="784">
        <f t="shared" si="117"/>
        <v>0</v>
      </c>
      <c r="AG209" s="784">
        <f t="shared" si="118"/>
        <v>0</v>
      </c>
      <c r="AH209" s="1015">
        <f t="shared" si="119"/>
        <v>0</v>
      </c>
      <c r="AI209" s="784">
        <f t="shared" si="120"/>
        <v>0</v>
      </c>
    </row>
    <row r="210" spans="1:35" x14ac:dyDescent="0.2">
      <c r="A210" s="202">
        <v>2037</v>
      </c>
      <c r="B210" s="216">
        <v>0</v>
      </c>
      <c r="C210" s="217">
        <v>0</v>
      </c>
      <c r="D210" s="217">
        <v>0</v>
      </c>
      <c r="E210" s="217">
        <v>0</v>
      </c>
      <c r="F210" s="217">
        <v>0</v>
      </c>
      <c r="G210" s="217">
        <v>0</v>
      </c>
      <c r="H210" s="217">
        <v>0</v>
      </c>
      <c r="I210" s="217">
        <v>0</v>
      </c>
      <c r="J210" s="217">
        <v>0</v>
      </c>
      <c r="K210" s="217">
        <v>0</v>
      </c>
      <c r="L210" s="252">
        <v>0</v>
      </c>
      <c r="M210" s="168">
        <f t="shared" si="109"/>
        <v>0</v>
      </c>
      <c r="N210" s="170">
        <f t="shared" si="110"/>
        <v>0</v>
      </c>
      <c r="O210" s="216">
        <v>0</v>
      </c>
      <c r="P210" s="217">
        <v>0</v>
      </c>
      <c r="Q210" s="217">
        <v>0</v>
      </c>
      <c r="R210" s="217">
        <v>0</v>
      </c>
      <c r="S210" s="217">
        <v>0</v>
      </c>
      <c r="T210" s="217">
        <v>0</v>
      </c>
      <c r="U210" s="217">
        <v>0</v>
      </c>
      <c r="V210" s="217">
        <v>0</v>
      </c>
      <c r="W210" s="217">
        <v>0</v>
      </c>
      <c r="X210" s="217">
        <v>0</v>
      </c>
      <c r="Y210" s="252">
        <v>0</v>
      </c>
      <c r="Z210" s="168">
        <f t="shared" si="111"/>
        <v>0</v>
      </c>
      <c r="AA210" s="170">
        <f t="shared" si="112"/>
        <v>0</v>
      </c>
      <c r="AB210" s="795">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796">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069">
        <f t="shared" si="121"/>
        <v>0</v>
      </c>
      <c r="AE210" s="784">
        <f t="shared" si="116"/>
        <v>0</v>
      </c>
      <c r="AF210" s="784">
        <f t="shared" si="117"/>
        <v>0</v>
      </c>
      <c r="AG210" s="784">
        <f t="shared" si="118"/>
        <v>0</v>
      </c>
      <c r="AH210" s="1015">
        <f t="shared" si="119"/>
        <v>0</v>
      </c>
      <c r="AI210" s="784">
        <f t="shared" si="120"/>
        <v>0</v>
      </c>
    </row>
    <row r="211" spans="1:35" x14ac:dyDescent="0.2">
      <c r="A211" s="202">
        <v>2038</v>
      </c>
      <c r="B211" s="216">
        <v>0</v>
      </c>
      <c r="C211" s="217">
        <v>0</v>
      </c>
      <c r="D211" s="217">
        <v>0</v>
      </c>
      <c r="E211" s="217">
        <v>0</v>
      </c>
      <c r="F211" s="217">
        <v>0</v>
      </c>
      <c r="G211" s="217">
        <v>0</v>
      </c>
      <c r="H211" s="217">
        <v>0</v>
      </c>
      <c r="I211" s="217">
        <v>0</v>
      </c>
      <c r="J211" s="217">
        <v>0</v>
      </c>
      <c r="K211" s="217">
        <v>0</v>
      </c>
      <c r="L211" s="252">
        <v>0</v>
      </c>
      <c r="M211" s="168">
        <f t="shared" si="109"/>
        <v>0</v>
      </c>
      <c r="N211" s="170">
        <f t="shared" si="110"/>
        <v>0</v>
      </c>
      <c r="O211" s="216">
        <v>0</v>
      </c>
      <c r="P211" s="217">
        <v>0</v>
      </c>
      <c r="Q211" s="217">
        <v>0</v>
      </c>
      <c r="R211" s="217">
        <v>0</v>
      </c>
      <c r="S211" s="217">
        <v>0</v>
      </c>
      <c r="T211" s="217">
        <v>0</v>
      </c>
      <c r="U211" s="217">
        <v>0</v>
      </c>
      <c r="V211" s="217">
        <v>0</v>
      </c>
      <c r="W211" s="217">
        <v>0</v>
      </c>
      <c r="X211" s="217">
        <v>0</v>
      </c>
      <c r="Y211" s="252">
        <v>0</v>
      </c>
      <c r="Z211" s="168">
        <f t="shared" si="111"/>
        <v>0</v>
      </c>
      <c r="AA211" s="170">
        <f t="shared" si="112"/>
        <v>0</v>
      </c>
      <c r="AB211" s="795">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796">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069">
        <f t="shared" si="121"/>
        <v>0</v>
      </c>
      <c r="AE211" s="784">
        <f t="shared" si="116"/>
        <v>0</v>
      </c>
      <c r="AF211" s="784">
        <f t="shared" si="117"/>
        <v>0</v>
      </c>
      <c r="AG211" s="784">
        <f t="shared" si="118"/>
        <v>0</v>
      </c>
      <c r="AH211" s="1015">
        <f t="shared" si="119"/>
        <v>0</v>
      </c>
      <c r="AI211" s="784">
        <f t="shared" si="120"/>
        <v>0</v>
      </c>
    </row>
    <row r="212" spans="1:35" x14ac:dyDescent="0.2">
      <c r="A212" s="202">
        <v>2039</v>
      </c>
      <c r="B212" s="216">
        <v>0</v>
      </c>
      <c r="C212" s="217">
        <v>0</v>
      </c>
      <c r="D212" s="217">
        <v>0</v>
      </c>
      <c r="E212" s="217">
        <v>0</v>
      </c>
      <c r="F212" s="217">
        <v>0</v>
      </c>
      <c r="G212" s="217">
        <v>0</v>
      </c>
      <c r="H212" s="217">
        <v>0</v>
      </c>
      <c r="I212" s="217">
        <v>0</v>
      </c>
      <c r="J212" s="217">
        <v>0</v>
      </c>
      <c r="K212" s="217">
        <v>0</v>
      </c>
      <c r="L212" s="252">
        <v>0</v>
      </c>
      <c r="M212" s="168">
        <f t="shared" si="109"/>
        <v>0</v>
      </c>
      <c r="N212" s="170">
        <f t="shared" si="110"/>
        <v>0</v>
      </c>
      <c r="O212" s="216">
        <v>0</v>
      </c>
      <c r="P212" s="217">
        <v>0</v>
      </c>
      <c r="Q212" s="217">
        <v>0</v>
      </c>
      <c r="R212" s="217">
        <v>0</v>
      </c>
      <c r="S212" s="217">
        <v>0</v>
      </c>
      <c r="T212" s="217">
        <v>0</v>
      </c>
      <c r="U212" s="217">
        <v>0</v>
      </c>
      <c r="V212" s="217">
        <v>0</v>
      </c>
      <c r="W212" s="217">
        <v>0</v>
      </c>
      <c r="X212" s="217">
        <v>0</v>
      </c>
      <c r="Y212" s="252">
        <v>0</v>
      </c>
      <c r="Z212" s="168">
        <f t="shared" si="111"/>
        <v>0</v>
      </c>
      <c r="AA212" s="170">
        <f t="shared" si="112"/>
        <v>0</v>
      </c>
      <c r="AB212" s="795">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796">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069">
        <f t="shared" si="121"/>
        <v>0</v>
      </c>
      <c r="AE212" s="784">
        <f t="shared" si="116"/>
        <v>0</v>
      </c>
      <c r="AF212" s="784">
        <f t="shared" si="117"/>
        <v>0</v>
      </c>
      <c r="AG212" s="784">
        <f t="shared" si="118"/>
        <v>0</v>
      </c>
      <c r="AH212" s="1015">
        <f t="shared" si="119"/>
        <v>0</v>
      </c>
      <c r="AI212" s="784">
        <f t="shared" si="120"/>
        <v>0</v>
      </c>
    </row>
    <row r="213" spans="1:35" ht="13.5" thickBot="1" x14ac:dyDescent="0.25">
      <c r="A213" s="200">
        <v>2040</v>
      </c>
      <c r="B213" s="218">
        <v>0</v>
      </c>
      <c r="C213" s="219">
        <v>0</v>
      </c>
      <c r="D213" s="219">
        <v>0</v>
      </c>
      <c r="E213" s="219">
        <v>0</v>
      </c>
      <c r="F213" s="219">
        <v>0</v>
      </c>
      <c r="G213" s="219">
        <v>0</v>
      </c>
      <c r="H213" s="219">
        <v>0</v>
      </c>
      <c r="I213" s="219">
        <v>0</v>
      </c>
      <c r="J213" s="219">
        <v>0</v>
      </c>
      <c r="K213" s="219">
        <v>0</v>
      </c>
      <c r="L213" s="253">
        <v>0</v>
      </c>
      <c r="M213" s="182">
        <f t="shared" si="109"/>
        <v>0</v>
      </c>
      <c r="N213" s="184">
        <f t="shared" si="110"/>
        <v>0</v>
      </c>
      <c r="O213" s="218">
        <v>0</v>
      </c>
      <c r="P213" s="219">
        <v>0</v>
      </c>
      <c r="Q213" s="219">
        <v>0</v>
      </c>
      <c r="R213" s="219">
        <v>0</v>
      </c>
      <c r="S213" s="219">
        <v>0</v>
      </c>
      <c r="T213" s="219">
        <v>0</v>
      </c>
      <c r="U213" s="219">
        <v>0</v>
      </c>
      <c r="V213" s="219">
        <v>0</v>
      </c>
      <c r="W213" s="219">
        <v>0</v>
      </c>
      <c r="X213" s="219">
        <v>0</v>
      </c>
      <c r="Y213" s="253">
        <v>0</v>
      </c>
      <c r="Z213" s="182">
        <f t="shared" si="111"/>
        <v>0</v>
      </c>
      <c r="AA213" s="184">
        <f t="shared" si="112"/>
        <v>0</v>
      </c>
      <c r="AB213" s="795">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796">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069">
        <f t="shared" si="121"/>
        <v>0</v>
      </c>
      <c r="AE213" s="784">
        <f t="shared" si="116"/>
        <v>0</v>
      </c>
      <c r="AF213" s="784">
        <f t="shared" si="117"/>
        <v>0</v>
      </c>
      <c r="AG213" s="784">
        <f t="shared" si="118"/>
        <v>0</v>
      </c>
      <c r="AH213" s="1015">
        <f t="shared" si="119"/>
        <v>0</v>
      </c>
      <c r="AI213" s="784">
        <f t="shared" si="120"/>
        <v>0</v>
      </c>
    </row>
    <row r="214" spans="1:35" x14ac:dyDescent="0.2">
      <c r="A214" s="201">
        <v>2041</v>
      </c>
      <c r="B214" s="214">
        <v>0</v>
      </c>
      <c r="C214" s="215">
        <v>0</v>
      </c>
      <c r="D214" s="215">
        <v>0</v>
      </c>
      <c r="E214" s="215">
        <v>0</v>
      </c>
      <c r="F214" s="215">
        <v>0</v>
      </c>
      <c r="G214" s="215">
        <v>0</v>
      </c>
      <c r="H214" s="215">
        <v>0</v>
      </c>
      <c r="I214" s="215">
        <v>0</v>
      </c>
      <c r="J214" s="215">
        <v>0</v>
      </c>
      <c r="K214" s="215">
        <v>0</v>
      </c>
      <c r="L214" s="251">
        <v>0</v>
      </c>
      <c r="M214" s="154">
        <f t="shared" si="109"/>
        <v>0</v>
      </c>
      <c r="N214" s="156">
        <f t="shared" si="110"/>
        <v>0</v>
      </c>
      <c r="O214" s="214">
        <v>0</v>
      </c>
      <c r="P214" s="215">
        <v>0</v>
      </c>
      <c r="Q214" s="215">
        <v>0</v>
      </c>
      <c r="R214" s="215">
        <v>0</v>
      </c>
      <c r="S214" s="215">
        <v>0</v>
      </c>
      <c r="T214" s="215">
        <v>0</v>
      </c>
      <c r="U214" s="215">
        <v>0</v>
      </c>
      <c r="V214" s="215">
        <v>0</v>
      </c>
      <c r="W214" s="215">
        <v>0</v>
      </c>
      <c r="X214" s="215">
        <v>0</v>
      </c>
      <c r="Y214" s="251">
        <v>0</v>
      </c>
      <c r="Z214" s="154">
        <f t="shared" si="111"/>
        <v>0</v>
      </c>
      <c r="AA214" s="156">
        <f t="shared" si="112"/>
        <v>0</v>
      </c>
      <c r="AB214" s="795">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796">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069">
        <f t="shared" si="121"/>
        <v>0</v>
      </c>
      <c r="AE214" s="784">
        <f t="shared" si="116"/>
        <v>0</v>
      </c>
      <c r="AF214" s="784">
        <f t="shared" si="117"/>
        <v>0</v>
      </c>
      <c r="AG214" s="784">
        <f t="shared" si="118"/>
        <v>0</v>
      </c>
      <c r="AH214" s="1015">
        <f t="shared" si="119"/>
        <v>0</v>
      </c>
      <c r="AI214" s="784">
        <f t="shared" si="120"/>
        <v>0</v>
      </c>
    </row>
    <row r="215" spans="1:35" x14ac:dyDescent="0.2">
      <c r="A215" s="202">
        <v>2042</v>
      </c>
      <c r="B215" s="216">
        <v>0</v>
      </c>
      <c r="C215" s="217">
        <v>0</v>
      </c>
      <c r="D215" s="217">
        <v>0</v>
      </c>
      <c r="E215" s="217">
        <v>0</v>
      </c>
      <c r="F215" s="217">
        <v>0</v>
      </c>
      <c r="G215" s="217">
        <v>0</v>
      </c>
      <c r="H215" s="217">
        <v>0</v>
      </c>
      <c r="I215" s="217">
        <v>0</v>
      </c>
      <c r="J215" s="217">
        <v>0</v>
      </c>
      <c r="K215" s="217">
        <v>0</v>
      </c>
      <c r="L215" s="252">
        <v>0</v>
      </c>
      <c r="M215" s="168">
        <f t="shared" si="109"/>
        <v>0</v>
      </c>
      <c r="N215" s="170">
        <f t="shared" si="110"/>
        <v>0</v>
      </c>
      <c r="O215" s="216">
        <v>0</v>
      </c>
      <c r="P215" s="217">
        <v>0</v>
      </c>
      <c r="Q215" s="217">
        <v>0</v>
      </c>
      <c r="R215" s="217">
        <v>0</v>
      </c>
      <c r="S215" s="217">
        <v>0</v>
      </c>
      <c r="T215" s="217">
        <v>0</v>
      </c>
      <c r="U215" s="217">
        <v>0</v>
      </c>
      <c r="V215" s="217">
        <v>0</v>
      </c>
      <c r="W215" s="217">
        <v>0</v>
      </c>
      <c r="X215" s="217">
        <v>0</v>
      </c>
      <c r="Y215" s="252">
        <v>0</v>
      </c>
      <c r="Z215" s="168">
        <f t="shared" si="111"/>
        <v>0</v>
      </c>
      <c r="AA215" s="170">
        <f t="shared" si="112"/>
        <v>0</v>
      </c>
      <c r="AB215" s="795">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796">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069">
        <f t="shared" si="121"/>
        <v>0</v>
      </c>
      <c r="AE215" s="784">
        <f t="shared" si="116"/>
        <v>0</v>
      </c>
      <c r="AF215" s="784">
        <f t="shared" si="117"/>
        <v>0</v>
      </c>
      <c r="AG215" s="784">
        <f t="shared" si="118"/>
        <v>0</v>
      </c>
      <c r="AH215" s="1015">
        <f t="shared" si="119"/>
        <v>0</v>
      </c>
      <c r="AI215" s="784">
        <f t="shared" si="120"/>
        <v>0</v>
      </c>
    </row>
    <row r="216" spans="1:35" x14ac:dyDescent="0.2">
      <c r="A216" s="202">
        <v>2043</v>
      </c>
      <c r="B216" s="216">
        <v>0</v>
      </c>
      <c r="C216" s="217">
        <v>0</v>
      </c>
      <c r="D216" s="217">
        <v>0</v>
      </c>
      <c r="E216" s="217">
        <v>0</v>
      </c>
      <c r="F216" s="217">
        <v>0</v>
      </c>
      <c r="G216" s="217">
        <v>0</v>
      </c>
      <c r="H216" s="217">
        <v>0</v>
      </c>
      <c r="I216" s="217">
        <v>0</v>
      </c>
      <c r="J216" s="217">
        <v>0</v>
      </c>
      <c r="K216" s="217">
        <v>0</v>
      </c>
      <c r="L216" s="252">
        <v>0</v>
      </c>
      <c r="M216" s="168">
        <f t="shared" si="109"/>
        <v>0</v>
      </c>
      <c r="N216" s="170">
        <f t="shared" si="110"/>
        <v>0</v>
      </c>
      <c r="O216" s="216">
        <v>0</v>
      </c>
      <c r="P216" s="217">
        <v>0</v>
      </c>
      <c r="Q216" s="217">
        <v>0</v>
      </c>
      <c r="R216" s="217">
        <v>0</v>
      </c>
      <c r="S216" s="217">
        <v>0</v>
      </c>
      <c r="T216" s="217">
        <v>0</v>
      </c>
      <c r="U216" s="217">
        <v>0</v>
      </c>
      <c r="V216" s="217">
        <v>0</v>
      </c>
      <c r="W216" s="217">
        <v>0</v>
      </c>
      <c r="X216" s="217">
        <v>0</v>
      </c>
      <c r="Y216" s="252">
        <v>0</v>
      </c>
      <c r="Z216" s="168">
        <f t="shared" si="111"/>
        <v>0</v>
      </c>
      <c r="AA216" s="170">
        <f t="shared" si="112"/>
        <v>0</v>
      </c>
      <c r="AB216" s="795">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796">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069">
        <f t="shared" si="121"/>
        <v>0</v>
      </c>
      <c r="AE216" s="784">
        <f t="shared" si="116"/>
        <v>0</v>
      </c>
      <c r="AF216" s="784">
        <f t="shared" si="117"/>
        <v>0</v>
      </c>
      <c r="AG216" s="784">
        <f t="shared" si="118"/>
        <v>0</v>
      </c>
      <c r="AH216" s="1015">
        <f t="shared" si="119"/>
        <v>0</v>
      </c>
      <c r="AI216" s="784">
        <f t="shared" si="120"/>
        <v>0</v>
      </c>
    </row>
    <row r="217" spans="1:35" x14ac:dyDescent="0.2">
      <c r="A217" s="202">
        <v>2044</v>
      </c>
      <c r="B217" s="216">
        <v>0</v>
      </c>
      <c r="C217" s="217">
        <v>0</v>
      </c>
      <c r="D217" s="217">
        <v>0</v>
      </c>
      <c r="E217" s="217">
        <v>2.0165124231914899E-3</v>
      </c>
      <c r="F217" s="217">
        <v>0</v>
      </c>
      <c r="G217" s="217">
        <v>0</v>
      </c>
      <c r="H217" s="217">
        <v>0</v>
      </c>
      <c r="I217" s="217">
        <v>0</v>
      </c>
      <c r="J217" s="217">
        <v>0</v>
      </c>
      <c r="K217" s="217">
        <v>0</v>
      </c>
      <c r="L217" s="252">
        <v>0</v>
      </c>
      <c r="M217" s="168">
        <f t="shared" si="109"/>
        <v>1.7059628431861432E-4</v>
      </c>
      <c r="N217" s="170">
        <f t="shared" si="110"/>
        <v>1.8696169133807557E-4</v>
      </c>
      <c r="O217" s="216">
        <v>0</v>
      </c>
      <c r="P217" s="217">
        <v>0</v>
      </c>
      <c r="Q217" s="217">
        <v>8.2427084781065552E-5</v>
      </c>
      <c r="R217" s="217">
        <v>6.7940708367102472E-3</v>
      </c>
      <c r="S217" s="217">
        <v>0</v>
      </c>
      <c r="T217" s="217">
        <v>0</v>
      </c>
      <c r="U217" s="217">
        <v>0</v>
      </c>
      <c r="V217" s="217">
        <v>0</v>
      </c>
      <c r="W217" s="217">
        <v>0</v>
      </c>
      <c r="X217" s="217">
        <v>0</v>
      </c>
      <c r="Y217" s="252">
        <v>0</v>
      </c>
      <c r="Z217" s="168">
        <f t="shared" si="111"/>
        <v>4.4023875241750636E-4</v>
      </c>
      <c r="AA217" s="170">
        <f t="shared" si="112"/>
        <v>4.7466405433248981E-4</v>
      </c>
      <c r="AB217" s="795">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796">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069">
        <f t="shared" si="121"/>
        <v>0</v>
      </c>
      <c r="AE217" s="784">
        <f t="shared" si="116"/>
        <v>1.7059628431861432E-4</v>
      </c>
      <c r="AF217" s="784">
        <f t="shared" si="117"/>
        <v>4.4023875241750636E-4</v>
      </c>
      <c r="AG217" s="784">
        <f t="shared" si="118"/>
        <v>6.1083503673612066E-4</v>
      </c>
      <c r="AH217" s="1015">
        <f t="shared" si="119"/>
        <v>0.2792837248337337</v>
      </c>
      <c r="AI217" s="784">
        <f t="shared" si="120"/>
        <v>0.72071627516626635</v>
      </c>
    </row>
    <row r="218" spans="1:35" ht="13.5" thickBot="1" x14ac:dyDescent="0.25">
      <c r="A218" s="200">
        <v>2045</v>
      </c>
      <c r="B218" s="218">
        <v>0</v>
      </c>
      <c r="C218" s="219">
        <v>0</v>
      </c>
      <c r="D218" s="219">
        <v>3.8265327258395617E-3</v>
      </c>
      <c r="E218" s="219">
        <v>3.6404013397169997E-2</v>
      </c>
      <c r="F218" s="219">
        <v>0</v>
      </c>
      <c r="G218" s="219">
        <v>0</v>
      </c>
      <c r="H218" s="219">
        <v>0</v>
      </c>
      <c r="I218" s="219">
        <v>0</v>
      </c>
      <c r="J218" s="219">
        <v>0</v>
      </c>
      <c r="K218" s="219">
        <v>0</v>
      </c>
      <c r="L218" s="253">
        <v>0</v>
      </c>
      <c r="M218" s="182">
        <f t="shared" si="109"/>
        <v>3.3091877538448744E-3</v>
      </c>
      <c r="N218" s="184">
        <f t="shared" si="110"/>
        <v>3.726706277087757E-3</v>
      </c>
      <c r="O218" s="218">
        <v>0</v>
      </c>
      <c r="P218" s="219">
        <v>0</v>
      </c>
      <c r="Q218" s="219">
        <v>1.0377942670426096E-2</v>
      </c>
      <c r="R218" s="219">
        <v>4.9517899750677524E-2</v>
      </c>
      <c r="S218" s="219">
        <v>0</v>
      </c>
      <c r="T218" s="219">
        <v>0</v>
      </c>
      <c r="U218" s="219">
        <v>0</v>
      </c>
      <c r="V218" s="219">
        <v>0</v>
      </c>
      <c r="W218" s="219">
        <v>0</v>
      </c>
      <c r="X218" s="219">
        <v>0</v>
      </c>
      <c r="Y218" s="253">
        <v>0</v>
      </c>
      <c r="Z218" s="182">
        <f t="shared" si="111"/>
        <v>3.6181345106013904E-3</v>
      </c>
      <c r="AA218" s="184">
        <f t="shared" si="112"/>
        <v>4.0688167461986995E-3</v>
      </c>
      <c r="AB218" s="795">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796">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069">
        <f t="shared" si="121"/>
        <v>0</v>
      </c>
      <c r="AE218" s="784">
        <f t="shared" si="116"/>
        <v>3.3091877538448744E-3</v>
      </c>
      <c r="AF218" s="784">
        <f t="shared" si="117"/>
        <v>3.6181345106013904E-3</v>
      </c>
      <c r="AG218" s="784">
        <f t="shared" si="118"/>
        <v>6.9273222644462649E-3</v>
      </c>
      <c r="AH218" s="1015">
        <f t="shared" si="119"/>
        <v>0.47770085287195663</v>
      </c>
      <c r="AI218" s="784">
        <f t="shared" si="120"/>
        <v>0.52229914712804337</v>
      </c>
    </row>
    <row r="219" spans="1:35" x14ac:dyDescent="0.2">
      <c r="A219" s="201">
        <v>2046</v>
      </c>
      <c r="B219" s="214">
        <v>0</v>
      </c>
      <c r="C219" s="215">
        <v>1.0791010363189971E-4</v>
      </c>
      <c r="D219" s="215">
        <v>3.0786005785357815E-2</v>
      </c>
      <c r="E219" s="215">
        <v>8.3031895749776846E-2</v>
      </c>
      <c r="F219" s="215">
        <v>0</v>
      </c>
      <c r="G219" s="215">
        <v>0</v>
      </c>
      <c r="H219" s="215">
        <v>0</v>
      </c>
      <c r="I219" s="215">
        <v>0</v>
      </c>
      <c r="J219" s="215">
        <v>0</v>
      </c>
      <c r="K219" s="215">
        <v>0</v>
      </c>
      <c r="L219" s="251">
        <v>0</v>
      </c>
      <c r="M219" s="154">
        <f t="shared" si="109"/>
        <v>8.8740233422683473E-3</v>
      </c>
      <c r="N219" s="156">
        <f t="shared" si="110"/>
        <v>1.0535924885380054E-2</v>
      </c>
      <c r="O219" s="214">
        <v>0</v>
      </c>
      <c r="P219" s="215">
        <v>1.0483985586266539E-3</v>
      </c>
      <c r="Q219" s="215">
        <v>4.6909307694341304E-2</v>
      </c>
      <c r="R219" s="215">
        <v>9.5801946125153581E-2</v>
      </c>
      <c r="S219" s="215">
        <v>0</v>
      </c>
      <c r="T219" s="215">
        <v>0</v>
      </c>
      <c r="U219" s="215">
        <v>0</v>
      </c>
      <c r="V219" s="215">
        <v>0</v>
      </c>
      <c r="W219" s="215">
        <v>0</v>
      </c>
      <c r="X219" s="215">
        <v>0</v>
      </c>
      <c r="Y219" s="251">
        <v>0</v>
      </c>
      <c r="Z219" s="154">
        <f t="shared" si="111"/>
        <v>8.1526512979272839E-3</v>
      </c>
      <c r="AA219" s="156">
        <f t="shared" si="112"/>
        <v>9.6142037358657485E-3</v>
      </c>
      <c r="AB219" s="795">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796">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069">
        <f t="shared" si="121"/>
        <v>0</v>
      </c>
      <c r="AE219" s="784">
        <f t="shared" si="116"/>
        <v>8.8740233422683473E-3</v>
      </c>
      <c r="AF219" s="784">
        <f t="shared" si="117"/>
        <v>8.1526512979272839E-3</v>
      </c>
      <c r="AG219" s="784">
        <f t="shared" si="118"/>
        <v>1.7026674640195631E-2</v>
      </c>
      <c r="AH219" s="1015">
        <f t="shared" si="119"/>
        <v>0.52118358574369206</v>
      </c>
      <c r="AI219" s="784">
        <f t="shared" si="120"/>
        <v>0.47881641425630794</v>
      </c>
    </row>
    <row r="220" spans="1:35" x14ac:dyDescent="0.2">
      <c r="A220" s="202">
        <v>2047</v>
      </c>
      <c r="B220" s="216">
        <v>0</v>
      </c>
      <c r="C220" s="217">
        <v>2.7822618459007226E-3</v>
      </c>
      <c r="D220" s="217">
        <v>6.5744838157667587E-2</v>
      </c>
      <c r="E220" s="217">
        <v>0.11626401849319329</v>
      </c>
      <c r="F220" s="217">
        <v>0</v>
      </c>
      <c r="G220" s="217">
        <v>0</v>
      </c>
      <c r="H220" s="217">
        <v>0</v>
      </c>
      <c r="I220" s="217">
        <v>0</v>
      </c>
      <c r="J220" s="217">
        <v>0</v>
      </c>
      <c r="K220" s="217">
        <v>0</v>
      </c>
      <c r="L220" s="252">
        <v>0</v>
      </c>
      <c r="M220" s="168">
        <f t="shared" si="109"/>
        <v>1.3874930932564724E-2</v>
      </c>
      <c r="N220" s="170">
        <f t="shared" si="110"/>
        <v>1.7068033698420689E-2</v>
      </c>
      <c r="O220" s="216">
        <v>0</v>
      </c>
      <c r="P220" s="217">
        <v>9.2098995398383014E-3</v>
      </c>
      <c r="Q220" s="217">
        <v>8.2738612042530399E-2</v>
      </c>
      <c r="R220" s="217">
        <v>0.13106687420634133</v>
      </c>
      <c r="S220" s="217">
        <v>0</v>
      </c>
      <c r="T220" s="217">
        <v>0</v>
      </c>
      <c r="U220" s="217">
        <v>0</v>
      </c>
      <c r="V220" s="217">
        <v>0</v>
      </c>
      <c r="W220" s="217">
        <v>0</v>
      </c>
      <c r="X220" s="217">
        <v>0</v>
      </c>
      <c r="Y220" s="252">
        <v>0</v>
      </c>
      <c r="Z220" s="168">
        <f t="shared" si="111"/>
        <v>1.2145415956400967E-2</v>
      </c>
      <c r="AA220" s="170">
        <f t="shared" si="112"/>
        <v>1.4831143048698486E-2</v>
      </c>
      <c r="AB220" s="795">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796">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069">
        <f t="shared" si="121"/>
        <v>0</v>
      </c>
      <c r="AE220" s="784">
        <f t="shared" si="116"/>
        <v>1.3874930932564724E-2</v>
      </c>
      <c r="AF220" s="784">
        <f t="shared" si="117"/>
        <v>1.2145415956400967E-2</v>
      </c>
      <c r="AG220" s="784">
        <f t="shared" si="118"/>
        <v>2.6020346888965692E-2</v>
      </c>
      <c r="AH220" s="1015">
        <f t="shared" si="119"/>
        <v>0.5332338954500484</v>
      </c>
      <c r="AI220" s="784">
        <f t="shared" si="120"/>
        <v>0.46676610454995154</v>
      </c>
    </row>
    <row r="221" spans="1:35" x14ac:dyDescent="0.2">
      <c r="A221" s="202">
        <v>2048</v>
      </c>
      <c r="B221" s="216">
        <v>0</v>
      </c>
      <c r="C221" s="217">
        <v>1.0525961854658265E-2</v>
      </c>
      <c r="D221" s="217">
        <v>8.9118424190707229E-2</v>
      </c>
      <c r="E221" s="217">
        <v>0.13833496467474762</v>
      </c>
      <c r="F221" s="217">
        <v>0</v>
      </c>
      <c r="G221" s="217">
        <v>0</v>
      </c>
      <c r="H221" s="217">
        <v>0</v>
      </c>
      <c r="I221" s="217">
        <v>0</v>
      </c>
      <c r="J221" s="217">
        <v>0</v>
      </c>
      <c r="K221" s="217">
        <v>0</v>
      </c>
      <c r="L221" s="252">
        <v>0</v>
      </c>
      <c r="M221" s="168">
        <f t="shared" si="109"/>
        <v>1.7414282457449498E-2</v>
      </c>
      <c r="N221" s="170">
        <f t="shared" si="110"/>
        <v>2.1955612711068606E-2</v>
      </c>
      <c r="O221" s="216">
        <v>0</v>
      </c>
      <c r="P221" s="217">
        <v>2.3645183884376073E-2</v>
      </c>
      <c r="Q221" s="217">
        <v>0.10300328568381248</v>
      </c>
      <c r="R221" s="217">
        <v>0.14792454629594751</v>
      </c>
      <c r="S221" s="217">
        <v>0</v>
      </c>
      <c r="T221" s="217">
        <v>0</v>
      </c>
      <c r="U221" s="217">
        <v>0</v>
      </c>
      <c r="V221" s="217">
        <v>0</v>
      </c>
      <c r="W221" s="217">
        <v>0</v>
      </c>
      <c r="X221" s="217">
        <v>0</v>
      </c>
      <c r="Y221" s="252">
        <v>0</v>
      </c>
      <c r="Z221" s="168">
        <f t="shared" si="111"/>
        <v>1.4475824304677143E-2</v>
      </c>
      <c r="AA221" s="170">
        <f t="shared" si="112"/>
        <v>1.8226612457498813E-2</v>
      </c>
      <c r="AB221" s="795">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796">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069">
        <f t="shared" si="121"/>
        <v>0</v>
      </c>
      <c r="AE221" s="784">
        <f t="shared" si="116"/>
        <v>1.7414282457449498E-2</v>
      </c>
      <c r="AF221" s="784">
        <f t="shared" si="117"/>
        <v>1.4475824304677143E-2</v>
      </c>
      <c r="AG221" s="784">
        <f t="shared" si="118"/>
        <v>3.1890106762126641E-2</v>
      </c>
      <c r="AH221" s="1015">
        <f t="shared" si="119"/>
        <v>0.54607162614240801</v>
      </c>
      <c r="AI221" s="784">
        <f t="shared" si="120"/>
        <v>0.45392837385759194</v>
      </c>
    </row>
    <row r="222" spans="1:35" x14ac:dyDescent="0.2">
      <c r="A222" s="202">
        <v>2049</v>
      </c>
      <c r="B222" s="216">
        <v>0</v>
      </c>
      <c r="C222" s="217">
        <v>1.8957852170287327E-2</v>
      </c>
      <c r="D222" s="217">
        <v>0.10421238355197783</v>
      </c>
      <c r="E222" s="217">
        <v>0.15006237691372196</v>
      </c>
      <c r="F222" s="217">
        <v>0</v>
      </c>
      <c r="G222" s="217">
        <v>0</v>
      </c>
      <c r="H222" s="217">
        <v>0</v>
      </c>
      <c r="I222" s="217">
        <v>0</v>
      </c>
      <c r="J222" s="217">
        <v>0</v>
      </c>
      <c r="K222" s="217">
        <v>0</v>
      </c>
      <c r="L222" s="252">
        <v>0</v>
      </c>
      <c r="M222" s="168">
        <f t="shared" si="109"/>
        <v>1.9606233777124206E-2</v>
      </c>
      <c r="N222" s="170">
        <f t="shared" si="110"/>
        <v>2.5185340304351378E-2</v>
      </c>
      <c r="O222" s="216">
        <v>0</v>
      </c>
      <c r="P222" s="217">
        <v>3.3414281827279173E-2</v>
      </c>
      <c r="Q222" s="217">
        <v>0.11763537176518396</v>
      </c>
      <c r="R222" s="217">
        <v>0.15825181353374387</v>
      </c>
      <c r="S222" s="217">
        <v>0</v>
      </c>
      <c r="T222" s="217">
        <v>0</v>
      </c>
      <c r="U222" s="217">
        <v>0</v>
      </c>
      <c r="V222" s="217">
        <v>0</v>
      </c>
      <c r="W222" s="217">
        <v>0</v>
      </c>
      <c r="X222" s="217">
        <v>0</v>
      </c>
      <c r="Y222" s="252">
        <v>0</v>
      </c>
      <c r="Z222" s="168">
        <f t="shared" si="111"/>
        <v>1.6021868818179047E-2</v>
      </c>
      <c r="AA222" s="170">
        <f t="shared" si="112"/>
        <v>2.0506984432932522E-2</v>
      </c>
      <c r="AB222" s="795">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796">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069">
        <f t="shared" si="121"/>
        <v>0</v>
      </c>
      <c r="AE222" s="784">
        <f t="shared" si="116"/>
        <v>1.9606233777124206E-2</v>
      </c>
      <c r="AF222" s="784">
        <f t="shared" si="117"/>
        <v>1.6021868818179047E-2</v>
      </c>
      <c r="AG222" s="784">
        <f t="shared" si="118"/>
        <v>3.5628102595303253E-2</v>
      </c>
      <c r="AH222" s="1015">
        <f t="shared" si="119"/>
        <v>0.55030249575257584</v>
      </c>
      <c r="AI222" s="784">
        <f t="shared" si="120"/>
        <v>0.44969750424742411</v>
      </c>
    </row>
    <row r="223" spans="1:35" ht="13.5" thickBot="1" x14ac:dyDescent="0.25">
      <c r="A223" s="200">
        <v>2050</v>
      </c>
      <c r="B223" s="218">
        <v>0</v>
      </c>
      <c r="C223" s="219">
        <v>4.2131083491518395E-2</v>
      </c>
      <c r="D223" s="219">
        <v>0.12336755485632662</v>
      </c>
      <c r="E223" s="219">
        <v>0.16344106060787641</v>
      </c>
      <c r="F223" s="219">
        <v>0</v>
      </c>
      <c r="G223" s="219">
        <v>0</v>
      </c>
      <c r="H223" s="219">
        <v>0</v>
      </c>
      <c r="I223" s="219">
        <v>0</v>
      </c>
      <c r="J223" s="219">
        <v>0</v>
      </c>
      <c r="K223" s="219">
        <v>0</v>
      </c>
      <c r="L223" s="253">
        <v>0</v>
      </c>
      <c r="M223" s="182">
        <f t="shared" si="109"/>
        <v>2.2696864465142241E-2</v>
      </c>
      <c r="N223" s="184">
        <f t="shared" si="110"/>
        <v>3.0262792523625258E-2</v>
      </c>
      <c r="O223" s="218">
        <v>0</v>
      </c>
      <c r="P223" s="219">
        <v>6.3782802256598159E-2</v>
      </c>
      <c r="Q223" s="219">
        <v>0.1327709957590642</v>
      </c>
      <c r="R223" s="219">
        <v>0.16598941670907397</v>
      </c>
      <c r="S223" s="219">
        <v>0</v>
      </c>
      <c r="T223" s="219">
        <v>0</v>
      </c>
      <c r="U223" s="219">
        <v>0</v>
      </c>
      <c r="V223" s="219">
        <v>0</v>
      </c>
      <c r="W223" s="219">
        <v>0</v>
      </c>
      <c r="X223" s="219">
        <v>0</v>
      </c>
      <c r="Y223" s="253">
        <v>0</v>
      </c>
      <c r="Z223" s="182">
        <f t="shared" si="111"/>
        <v>1.7990314347007895E-2</v>
      </c>
      <c r="AA223" s="184">
        <f t="shared" si="112"/>
        <v>2.4020617939087593E-2</v>
      </c>
      <c r="AB223" s="797">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798">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070">
        <f t="shared" si="121"/>
        <v>0</v>
      </c>
      <c r="AE223" s="784">
        <f t="shared" ref="AE223" si="122">SUMPRODUCT($B$74:$L$74,B223:L223)</f>
        <v>2.2696864465142241E-2</v>
      </c>
      <c r="AF223" s="784">
        <f t="shared" ref="AF223" si="123">SUMPRODUCT($O$74:$Y$74,O223:Y223)</f>
        <v>1.7990314347007895E-2</v>
      </c>
      <c r="AG223" s="784">
        <f t="shared" ref="AG223" si="124">SUM(AE223:AF223)</f>
        <v>4.0687178812150136E-2</v>
      </c>
      <c r="AH223" s="1015">
        <f t="shared" ref="AH223" si="125">IF(AG223&gt;0,AE223/AG223,0)</f>
        <v>0.55783824604630561</v>
      </c>
      <c r="AI223" s="784">
        <f t="shared" ref="AI223" si="126">IF(AG223&gt;0,AF223/AG223,0)</f>
        <v>0.44216175395369434</v>
      </c>
    </row>
    <row r="224" spans="1:35" x14ac:dyDescent="0.2">
      <c r="B224" s="99" t="str">
        <f>B$120</f>
        <v>Output generated: 11/04/2020 14:47</v>
      </c>
      <c r="O224" s="99" t="str">
        <f>O$120</f>
        <v>Output generated: 11/04/2020 14:47</v>
      </c>
      <c r="AE224" s="784"/>
      <c r="AF224" s="784"/>
      <c r="AG224" s="784"/>
      <c r="AH224" s="784"/>
      <c r="AI224" s="784"/>
    </row>
    <row r="225" spans="1:39" x14ac:dyDescent="0.2">
      <c r="AE225" s="784"/>
      <c r="AF225" s="784"/>
      <c r="AG225" s="784"/>
      <c r="AH225" s="784"/>
      <c r="AI225" s="784"/>
    </row>
    <row r="226" spans="1:39" ht="13.5" thickBot="1" x14ac:dyDescent="0.25">
      <c r="AE226" s="784"/>
      <c r="AF226" s="784"/>
      <c r="AG226" s="784"/>
      <c r="AH226" s="784"/>
      <c r="AI226" s="784"/>
    </row>
    <row r="227" spans="1:39" ht="15" x14ac:dyDescent="0.25">
      <c r="A227" s="205"/>
      <c r="B227" s="1539" t="s">
        <v>257</v>
      </c>
      <c r="C227" s="1540"/>
      <c r="D227" s="1540"/>
      <c r="E227" s="1540"/>
      <c r="F227" s="1540"/>
      <c r="G227" s="1540"/>
      <c r="H227" s="1540"/>
      <c r="I227" s="1540"/>
      <c r="J227" s="1540"/>
      <c r="K227" s="1540"/>
      <c r="L227" s="1540"/>
      <c r="M227" s="1540"/>
      <c r="N227" s="1541"/>
      <c r="O227" s="1539" t="s">
        <v>258</v>
      </c>
      <c r="P227" s="1540"/>
      <c r="Q227" s="1540"/>
      <c r="R227" s="1540"/>
      <c r="S227" s="1540"/>
      <c r="T227" s="1540"/>
      <c r="U227" s="1540"/>
      <c r="V227" s="1540"/>
      <c r="W227" s="1540"/>
      <c r="X227" s="1540"/>
      <c r="Y227" s="1540"/>
      <c r="Z227" s="1540"/>
      <c r="AA227" s="1541"/>
      <c r="AE227" s="784"/>
      <c r="AF227" s="784"/>
      <c r="AG227" s="784"/>
      <c r="AH227" s="784"/>
      <c r="AI227" s="784"/>
    </row>
    <row r="228" spans="1:39" x14ac:dyDescent="0.2">
      <c r="A228" s="196"/>
      <c r="B228" s="1536" t="s">
        <v>121</v>
      </c>
      <c r="C228" s="1537"/>
      <c r="D228" s="1537"/>
      <c r="E228" s="1537"/>
      <c r="F228" s="1537"/>
      <c r="G228" s="1537"/>
      <c r="H228" s="1537"/>
      <c r="I228" s="1537"/>
      <c r="J228" s="1537"/>
      <c r="K228" s="1537"/>
      <c r="L228" s="1537"/>
      <c r="M228" s="254"/>
      <c r="N228" s="197"/>
      <c r="O228" s="1536" t="s">
        <v>121</v>
      </c>
      <c r="P228" s="1537"/>
      <c r="Q228" s="1537"/>
      <c r="R228" s="1537"/>
      <c r="S228" s="1537"/>
      <c r="T228" s="1537"/>
      <c r="U228" s="1537"/>
      <c r="V228" s="1537"/>
      <c r="W228" s="1537"/>
      <c r="X228" s="1537"/>
      <c r="Y228" s="1537"/>
      <c r="Z228" s="254"/>
      <c r="AA228" s="197"/>
      <c r="AC228" s="801" t="s">
        <v>267</v>
      </c>
      <c r="AD228" s="106" t="b">
        <f>INDEX(TECH_OPT_FUEL2_Cls2,MATCH(RIGHT(O227),TECH_OPT_ROWS_Cls2,0))&lt;&gt;"N/A"</f>
        <v>0</v>
      </c>
      <c r="AE228" s="784"/>
      <c r="AF228" s="784"/>
      <c r="AG228" s="784"/>
      <c r="AH228" s="784"/>
      <c r="AI228" s="784"/>
    </row>
    <row r="229" spans="1:39" ht="13.5" thickBot="1" x14ac:dyDescent="0.25">
      <c r="A229" s="203"/>
      <c r="B229" s="210" t="s">
        <v>28</v>
      </c>
      <c r="C229" s="211" t="s">
        <v>29</v>
      </c>
      <c r="D229" s="211" t="s">
        <v>30</v>
      </c>
      <c r="E229" s="211" t="s">
        <v>31</v>
      </c>
      <c r="F229" s="211" t="s">
        <v>32</v>
      </c>
      <c r="G229" s="211" t="s">
        <v>33</v>
      </c>
      <c r="H229" s="211" t="s">
        <v>34</v>
      </c>
      <c r="I229" s="211" t="s">
        <v>35</v>
      </c>
      <c r="J229" s="211" t="s">
        <v>36</v>
      </c>
      <c r="K229" s="211" t="s">
        <v>37</v>
      </c>
      <c r="L229" s="249" t="s">
        <v>38</v>
      </c>
      <c r="M229" s="255" t="s">
        <v>122</v>
      </c>
      <c r="N229" s="204" t="s">
        <v>123</v>
      </c>
      <c r="O229" s="210" t="s">
        <v>28</v>
      </c>
      <c r="P229" s="211" t="s">
        <v>29</v>
      </c>
      <c r="Q229" s="211" t="s">
        <v>30</v>
      </c>
      <c r="R229" s="211" t="s">
        <v>31</v>
      </c>
      <c r="S229" s="211" t="s">
        <v>32</v>
      </c>
      <c r="T229" s="211" t="s">
        <v>33</v>
      </c>
      <c r="U229" s="211" t="s">
        <v>34</v>
      </c>
      <c r="V229" s="211" t="s">
        <v>35</v>
      </c>
      <c r="W229" s="211" t="s">
        <v>36</v>
      </c>
      <c r="X229" s="211" t="s">
        <v>37</v>
      </c>
      <c r="Y229" s="249" t="s">
        <v>38</v>
      </c>
      <c r="Z229" s="255" t="s">
        <v>122</v>
      </c>
      <c r="AA229" s="204" t="s">
        <v>123</v>
      </c>
      <c r="AB229" s="783"/>
      <c r="AC229" s="801" t="s">
        <v>268</v>
      </c>
      <c r="AD229" s="106">
        <f>MATCH(RIGHT(O227),TECH_OPT_ROWS_Cls2,0)</f>
        <v>5</v>
      </c>
      <c r="AE229" s="784"/>
      <c r="AF229" s="784"/>
      <c r="AG229" s="784"/>
      <c r="AH229" s="784"/>
      <c r="AI229" s="784"/>
    </row>
    <row r="230" spans="1:39" ht="14.25" thickTop="1" thickBot="1" x14ac:dyDescent="0.25">
      <c r="A230" s="220" t="s">
        <v>124</v>
      </c>
      <c r="B230" s="212">
        <f t="array" ref="B230:L230">TRANSPOSE(Cls2CentTruckShr)</f>
        <v>3.9559734044076443E-2</v>
      </c>
      <c r="C230" s="213">
        <v>8.9650908809480775E-2</v>
      </c>
      <c r="D230" s="213">
        <v>9.1857251580802685E-2</v>
      </c>
      <c r="E230" s="213">
        <v>9.271536797287637E-2</v>
      </c>
      <c r="F230" s="213">
        <v>0.10920126324528824</v>
      </c>
      <c r="G230" s="213">
        <v>4.7813378096654632E-2</v>
      </c>
      <c r="H230" s="213">
        <v>5.2826626309680449E-2</v>
      </c>
      <c r="I230" s="213">
        <v>3.3324854637922362E-2</v>
      </c>
      <c r="J230" s="213">
        <v>1.4796369103015083E-2</v>
      </c>
      <c r="K230" s="213">
        <v>6.5522293759777608E-3</v>
      </c>
      <c r="L230" s="250">
        <v>1.1207747736094297E-2</v>
      </c>
      <c r="M230" s="256"/>
      <c r="N230" s="208"/>
      <c r="O230" s="212">
        <f t="array" ref="O230:Y230">TRANSPOSE(Cls2NCentTruckShr)</f>
        <v>4.6052840844996765E-2</v>
      </c>
      <c r="P230" s="213">
        <v>6.7033462620106746E-2</v>
      </c>
      <c r="Q230" s="213">
        <v>6.2316087841293416E-2</v>
      </c>
      <c r="R230" s="213">
        <v>6.9108422941336428E-2</v>
      </c>
      <c r="S230" s="213">
        <v>7.8222088301235171E-2</v>
      </c>
      <c r="T230" s="213">
        <v>3.5529474750239771E-2</v>
      </c>
      <c r="U230" s="213">
        <v>3.0248313910710867E-2</v>
      </c>
      <c r="V230" s="213">
        <v>8.2628405675757074E-3</v>
      </c>
      <c r="W230" s="213">
        <v>6.4250307191884484E-3</v>
      </c>
      <c r="X230" s="213">
        <v>1.9993158802676368E-3</v>
      </c>
      <c r="Y230" s="1052">
        <v>5.2963907111801883E-3</v>
      </c>
      <c r="Z230" s="1057"/>
      <c r="AA230" s="1058"/>
    </row>
    <row r="231" spans="1:39" x14ac:dyDescent="0.2">
      <c r="A231" s="203" t="s">
        <v>125</v>
      </c>
      <c r="B231" s="770">
        <f t="array" ref="B231:L231">TRANSPOSE(Cls2CentVMTShr)</f>
        <v>6.3375455551975849E-3</v>
      </c>
      <c r="C231" s="771">
        <v>3.496913005496359E-2</v>
      </c>
      <c r="D231" s="771">
        <v>5.9955127131675522E-2</v>
      </c>
      <c r="E231" s="771">
        <v>8.4599669387910512E-2</v>
      </c>
      <c r="F231" s="771">
        <v>0.12702701008436962</v>
      </c>
      <c r="G231" s="771">
        <v>6.7204731283582092E-2</v>
      </c>
      <c r="H231" s="771">
        <v>8.8708982453757024E-2</v>
      </c>
      <c r="I231" s="771">
        <v>6.4694225377098208E-2</v>
      </c>
      <c r="J231" s="771">
        <v>3.2526447027526634E-2</v>
      </c>
      <c r="K231" s="771">
        <v>1.589064319454132E-2</v>
      </c>
      <c r="L231" s="1053">
        <v>3.2608183213810787E-2</v>
      </c>
      <c r="M231" s="1054"/>
      <c r="N231" s="1055"/>
      <c r="O231" s="770">
        <f t="array" ref="O231:Y231">TRANSPOSE(Cls2NCentVMTShr)</f>
        <v>8.1228463417563086E-3</v>
      </c>
      <c r="P231" s="771">
        <v>2.7563836768431361E-2</v>
      </c>
      <c r="Q231" s="771">
        <v>4.1883113088337191E-2</v>
      </c>
      <c r="R231" s="771">
        <v>6.4289357588678764E-2</v>
      </c>
      <c r="S231" s="771">
        <v>9.1183275251204537E-2</v>
      </c>
      <c r="T231" s="771">
        <v>5.1984283219922628E-2</v>
      </c>
      <c r="U231" s="771">
        <v>5.0286059545109812E-2</v>
      </c>
      <c r="V231" s="771">
        <v>1.5542287574292338E-2</v>
      </c>
      <c r="W231" s="771">
        <v>1.4506257462625264E-2</v>
      </c>
      <c r="X231" s="771">
        <v>4.9330966304706684E-3</v>
      </c>
      <c r="Y231" s="772">
        <v>1.5183891764738403E-2</v>
      </c>
      <c r="Z231" s="1054"/>
      <c r="AA231" s="1055"/>
      <c r="AB231" s="1552" t="str">
        <f>"% of miles on f2 for Tech "&amp; RIGHT(O226)&amp;" adopters"</f>
        <v>% of miles on f2 for Tech  adopters</v>
      </c>
      <c r="AC231" s="1553"/>
      <c r="AD231" s="1554"/>
      <c r="AE231" s="784" t="s">
        <v>298</v>
      </c>
      <c r="AF231" s="784"/>
      <c r="AG231" s="784"/>
      <c r="AH231" s="1015" t="s">
        <v>299</v>
      </c>
      <c r="AI231" s="784"/>
    </row>
    <row r="232" spans="1:39" ht="13.5" thickBot="1" x14ac:dyDescent="0.25">
      <c r="A232" s="789" t="s">
        <v>266</v>
      </c>
      <c r="B232" s="780">
        <f t="array" ref="B232:L232">TRANSPOSE(Cls2CentVMT/OPDAYS_Cls2)</f>
        <v>49.332453271995263</v>
      </c>
      <c r="C232" s="781">
        <v>120.11441047790339</v>
      </c>
      <c r="D232" s="781">
        <v>200.99157969807086</v>
      </c>
      <c r="E232" s="781">
        <v>280.98421424125928</v>
      </c>
      <c r="F232" s="781">
        <v>358.20644524895255</v>
      </c>
      <c r="G232" s="781">
        <v>432.82805471770689</v>
      </c>
      <c r="H232" s="781">
        <v>517.10615118099815</v>
      </c>
      <c r="I232" s="781">
        <v>597.8087063838957</v>
      </c>
      <c r="J232" s="781">
        <v>676.93419409560215</v>
      </c>
      <c r="K232" s="781">
        <v>746.82245226325631</v>
      </c>
      <c r="L232" s="782">
        <v>895.92826380844349</v>
      </c>
      <c r="M232" s="778"/>
      <c r="N232" s="779"/>
      <c r="O232" s="780">
        <f t="array" ref="O232:Y232">TRANSPOSE(Cls2NCentVMT/OPDAYS_Cls2)</f>
        <v>54.31462614952413</v>
      </c>
      <c r="P232" s="781">
        <v>126.62311644744663</v>
      </c>
      <c r="Q232" s="781">
        <v>206.96826351576016</v>
      </c>
      <c r="R232" s="781">
        <v>286.46600131499179</v>
      </c>
      <c r="S232" s="781">
        <v>358.9638908170715</v>
      </c>
      <c r="T232" s="781">
        <v>450.55545819643328</v>
      </c>
      <c r="U232" s="781">
        <v>511.93098482414172</v>
      </c>
      <c r="V232" s="781">
        <v>579.22933632093111</v>
      </c>
      <c r="W232" s="781">
        <v>695.25665569614875</v>
      </c>
      <c r="X232" s="781">
        <v>759.80682330760794</v>
      </c>
      <c r="Y232" s="1056">
        <v>882.81167173661356</v>
      </c>
      <c r="Z232" s="790"/>
      <c r="AA232" s="779"/>
      <c r="AB232" s="792" t="s">
        <v>186</v>
      </c>
      <c r="AC232" s="793" t="s">
        <v>15</v>
      </c>
      <c r="AD232" s="794" t="s">
        <v>18</v>
      </c>
      <c r="AE232" s="784" t="s">
        <v>186</v>
      </c>
      <c r="AF232" s="784" t="s">
        <v>15</v>
      </c>
      <c r="AG232" s="784" t="s">
        <v>18</v>
      </c>
      <c r="AH232" s="1015" t="s">
        <v>186</v>
      </c>
      <c r="AI232" s="784" t="s">
        <v>15</v>
      </c>
      <c r="AJ232" s="195"/>
      <c r="AK232" s="195"/>
      <c r="AL232" s="195"/>
      <c r="AM232" s="195"/>
    </row>
    <row r="233" spans="1:39" ht="13.5" thickTop="1" x14ac:dyDescent="0.2">
      <c r="A233" s="198">
        <v>2007</v>
      </c>
      <c r="B233" s="214">
        <v>0</v>
      </c>
      <c r="C233" s="215">
        <v>0</v>
      </c>
      <c r="D233" s="215">
        <v>0</v>
      </c>
      <c r="E233" s="215">
        <v>0</v>
      </c>
      <c r="F233" s="215">
        <v>0</v>
      </c>
      <c r="G233" s="215">
        <v>0</v>
      </c>
      <c r="H233" s="215">
        <v>0</v>
      </c>
      <c r="I233" s="215">
        <v>0</v>
      </c>
      <c r="J233" s="215">
        <v>0</v>
      </c>
      <c r="K233" s="215">
        <v>0</v>
      </c>
      <c r="L233" s="251">
        <v>0</v>
      </c>
      <c r="M233" s="154">
        <f>SUMPRODUCT($B$178:$L$178,$B233:$L233)</f>
        <v>0</v>
      </c>
      <c r="N233" s="156">
        <f>SUMPRODUCT($B$177:$L$177,$B233:$L233)</f>
        <v>0</v>
      </c>
      <c r="O233" s="214">
        <v>0</v>
      </c>
      <c r="P233" s="215">
        <v>0</v>
      </c>
      <c r="Q233" s="215">
        <v>0</v>
      </c>
      <c r="R233" s="215">
        <v>0</v>
      </c>
      <c r="S233" s="215">
        <v>0</v>
      </c>
      <c r="T233" s="215">
        <v>0</v>
      </c>
      <c r="U233" s="215">
        <v>0</v>
      </c>
      <c r="V233" s="215">
        <v>0</v>
      </c>
      <c r="W233" s="215">
        <v>0</v>
      </c>
      <c r="X233" s="215">
        <v>0</v>
      </c>
      <c r="Y233" s="251">
        <v>0</v>
      </c>
      <c r="Z233" s="259">
        <f>SUMPRODUCT($O$178:$Y$178,$O233:$Y233)</f>
        <v>0</v>
      </c>
      <c r="AA233" s="156">
        <f>SUMPRODUCT($O$177:$Y$177,$O233:$Y233)</f>
        <v>0</v>
      </c>
      <c r="AB233" s="795">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796">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069">
        <f>AB233*AH233+AC233*AI233</f>
        <v>0</v>
      </c>
      <c r="AE233" s="784">
        <f t="shared" ref="AE233:AE247" si="127">SUMPRODUCT($B$74:$L$74,B233:L233)</f>
        <v>0</v>
      </c>
      <c r="AF233" s="784">
        <f t="shared" ref="AF233:AF247" si="128">SUMPRODUCT($O$74:$Y$74,O233:Y233)</f>
        <v>0</v>
      </c>
      <c r="AG233" s="784">
        <f t="shared" ref="AG233:AG247" si="129">SUM(AE233:AF233)</f>
        <v>0</v>
      </c>
      <c r="AH233" s="1015">
        <f>IF(AG233&gt;0,AE233/AG233,0)</f>
        <v>0</v>
      </c>
      <c r="AI233" s="784">
        <f>IF(AG233&gt;0,AF233/AG233,0)</f>
        <v>0</v>
      </c>
    </row>
    <row r="234" spans="1:39" x14ac:dyDescent="0.2">
      <c r="A234" s="199">
        <v>2008</v>
      </c>
      <c r="B234" s="216">
        <v>0</v>
      </c>
      <c r="C234" s="217">
        <v>0</v>
      </c>
      <c r="D234" s="217">
        <v>0</v>
      </c>
      <c r="E234" s="217">
        <v>0</v>
      </c>
      <c r="F234" s="217">
        <v>0</v>
      </c>
      <c r="G234" s="217">
        <v>0</v>
      </c>
      <c r="H234" s="217">
        <v>0</v>
      </c>
      <c r="I234" s="217">
        <v>0</v>
      </c>
      <c r="J234" s="217">
        <v>0</v>
      </c>
      <c r="K234" s="217">
        <v>0</v>
      </c>
      <c r="L234" s="252">
        <v>0</v>
      </c>
      <c r="M234" s="168">
        <f t="shared" ref="M234:M276" si="130">SUMPRODUCT($B$178:$L$178,$B234:$L234)</f>
        <v>0</v>
      </c>
      <c r="N234" s="170">
        <f t="shared" ref="N234:N276" si="131">SUMPRODUCT($B$177:$L$177,$B234:$L234)</f>
        <v>0</v>
      </c>
      <c r="O234" s="216">
        <v>0</v>
      </c>
      <c r="P234" s="217">
        <v>0</v>
      </c>
      <c r="Q234" s="217">
        <v>0</v>
      </c>
      <c r="R234" s="217">
        <v>0</v>
      </c>
      <c r="S234" s="217">
        <v>0</v>
      </c>
      <c r="T234" s="217">
        <v>0</v>
      </c>
      <c r="U234" s="217">
        <v>0</v>
      </c>
      <c r="V234" s="217">
        <v>0</v>
      </c>
      <c r="W234" s="217">
        <v>0</v>
      </c>
      <c r="X234" s="217">
        <v>0</v>
      </c>
      <c r="Y234" s="252">
        <v>0</v>
      </c>
      <c r="Z234" s="168">
        <f t="shared" ref="Z234:Z276" si="132">SUMPRODUCT($O$178:$Y$178,$O234:$Y234)</f>
        <v>0</v>
      </c>
      <c r="AA234" s="170">
        <f t="shared" ref="AA234:AA276" si="133">SUMPRODUCT($O$177:$Y$177,$O234:$Y234)</f>
        <v>0</v>
      </c>
      <c r="AB234" s="795">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796">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069">
        <f t="shared" ref="AD234:AD258" si="134">AB234*AH234+AC234*AI234</f>
        <v>0</v>
      </c>
      <c r="AE234" s="784">
        <f t="shared" si="127"/>
        <v>0</v>
      </c>
      <c r="AF234" s="784">
        <f t="shared" si="128"/>
        <v>0</v>
      </c>
      <c r="AG234" s="784">
        <f t="shared" si="129"/>
        <v>0</v>
      </c>
      <c r="AH234" s="1015">
        <f t="shared" ref="AH234:AH275" si="135">IF(AG234&gt;0,AE234/AG234,0)</f>
        <v>0</v>
      </c>
      <c r="AI234" s="784">
        <f t="shared" ref="AI234:AI275" si="136">IF(AG234&gt;0,AF234/AG234,0)</f>
        <v>0</v>
      </c>
    </row>
    <row r="235" spans="1:39" x14ac:dyDescent="0.2">
      <c r="A235" s="199">
        <v>2009</v>
      </c>
      <c r="B235" s="216">
        <v>0</v>
      </c>
      <c r="C235" s="217">
        <v>0</v>
      </c>
      <c r="D235" s="217">
        <v>0</v>
      </c>
      <c r="E235" s="217">
        <v>0</v>
      </c>
      <c r="F235" s="217">
        <v>0</v>
      </c>
      <c r="G235" s="217">
        <v>0</v>
      </c>
      <c r="H235" s="217">
        <v>0</v>
      </c>
      <c r="I235" s="217">
        <v>0</v>
      </c>
      <c r="J235" s="217">
        <v>0</v>
      </c>
      <c r="K235" s="217">
        <v>0</v>
      </c>
      <c r="L235" s="252">
        <v>0</v>
      </c>
      <c r="M235" s="168">
        <f t="shared" si="130"/>
        <v>0</v>
      </c>
      <c r="N235" s="170">
        <f t="shared" si="131"/>
        <v>0</v>
      </c>
      <c r="O235" s="216">
        <v>0</v>
      </c>
      <c r="P235" s="217">
        <v>0</v>
      </c>
      <c r="Q235" s="217">
        <v>0</v>
      </c>
      <c r="R235" s="217">
        <v>0</v>
      </c>
      <c r="S235" s="217">
        <v>0</v>
      </c>
      <c r="T235" s="217">
        <v>0</v>
      </c>
      <c r="U235" s="217">
        <v>0</v>
      </c>
      <c r="V235" s="217">
        <v>0</v>
      </c>
      <c r="W235" s="217">
        <v>0</v>
      </c>
      <c r="X235" s="217">
        <v>0</v>
      </c>
      <c r="Y235" s="252">
        <v>0</v>
      </c>
      <c r="Z235" s="168">
        <f t="shared" si="132"/>
        <v>0</v>
      </c>
      <c r="AA235" s="170">
        <f t="shared" si="133"/>
        <v>0</v>
      </c>
      <c r="AB235" s="795">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796">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069">
        <f t="shared" si="134"/>
        <v>0</v>
      </c>
      <c r="AE235" s="784">
        <f t="shared" si="127"/>
        <v>0</v>
      </c>
      <c r="AF235" s="784">
        <f t="shared" si="128"/>
        <v>0</v>
      </c>
      <c r="AG235" s="784">
        <f t="shared" si="129"/>
        <v>0</v>
      </c>
      <c r="AH235" s="1015">
        <f t="shared" si="135"/>
        <v>0</v>
      </c>
      <c r="AI235" s="784">
        <f t="shared" si="136"/>
        <v>0</v>
      </c>
    </row>
    <row r="236" spans="1:39" ht="13.5" thickBot="1" x14ac:dyDescent="0.25">
      <c r="A236" s="200">
        <v>2010</v>
      </c>
      <c r="B236" s="218">
        <v>0</v>
      </c>
      <c r="C236" s="219">
        <v>0</v>
      </c>
      <c r="D236" s="219">
        <v>0</v>
      </c>
      <c r="E236" s="219">
        <v>0</v>
      </c>
      <c r="F236" s="219">
        <v>0</v>
      </c>
      <c r="G236" s="219">
        <v>0</v>
      </c>
      <c r="H236" s="219">
        <v>0</v>
      </c>
      <c r="I236" s="219">
        <v>0</v>
      </c>
      <c r="J236" s="219">
        <v>0</v>
      </c>
      <c r="K236" s="219">
        <v>0</v>
      </c>
      <c r="L236" s="253">
        <v>0</v>
      </c>
      <c r="M236" s="182">
        <f t="shared" si="130"/>
        <v>0</v>
      </c>
      <c r="N236" s="184">
        <f t="shared" si="131"/>
        <v>0</v>
      </c>
      <c r="O236" s="218">
        <v>0</v>
      </c>
      <c r="P236" s="219">
        <v>0</v>
      </c>
      <c r="Q236" s="219">
        <v>0</v>
      </c>
      <c r="R236" s="219">
        <v>0</v>
      </c>
      <c r="S236" s="219">
        <v>0</v>
      </c>
      <c r="T236" s="219">
        <v>0</v>
      </c>
      <c r="U236" s="219">
        <v>0</v>
      </c>
      <c r="V236" s="219">
        <v>0</v>
      </c>
      <c r="W236" s="219">
        <v>0</v>
      </c>
      <c r="X236" s="219">
        <v>0</v>
      </c>
      <c r="Y236" s="253">
        <v>0</v>
      </c>
      <c r="Z236" s="182">
        <f t="shared" si="132"/>
        <v>0</v>
      </c>
      <c r="AA236" s="184">
        <f t="shared" si="133"/>
        <v>0</v>
      </c>
      <c r="AB236" s="795">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796">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069">
        <f t="shared" si="134"/>
        <v>0</v>
      </c>
      <c r="AE236" s="784">
        <f t="shared" si="127"/>
        <v>0</v>
      </c>
      <c r="AF236" s="784">
        <f t="shared" si="128"/>
        <v>0</v>
      </c>
      <c r="AG236" s="784">
        <f t="shared" si="129"/>
        <v>0</v>
      </c>
      <c r="AH236" s="1015">
        <f t="shared" si="135"/>
        <v>0</v>
      </c>
      <c r="AI236" s="784">
        <f t="shared" si="136"/>
        <v>0</v>
      </c>
    </row>
    <row r="237" spans="1:39" x14ac:dyDescent="0.2">
      <c r="A237" s="201">
        <v>2011</v>
      </c>
      <c r="B237" s="214">
        <v>0</v>
      </c>
      <c r="C237" s="215">
        <v>0</v>
      </c>
      <c r="D237" s="215">
        <v>0</v>
      </c>
      <c r="E237" s="215">
        <v>0</v>
      </c>
      <c r="F237" s="215">
        <v>0</v>
      </c>
      <c r="G237" s="215">
        <v>0</v>
      </c>
      <c r="H237" s="215">
        <v>0</v>
      </c>
      <c r="I237" s="215">
        <v>0</v>
      </c>
      <c r="J237" s="215">
        <v>0</v>
      </c>
      <c r="K237" s="215">
        <v>0</v>
      </c>
      <c r="L237" s="251">
        <v>0</v>
      </c>
      <c r="M237" s="154">
        <f t="shared" si="130"/>
        <v>0</v>
      </c>
      <c r="N237" s="156">
        <f t="shared" si="131"/>
        <v>0</v>
      </c>
      <c r="O237" s="214">
        <v>0</v>
      </c>
      <c r="P237" s="215">
        <v>0</v>
      </c>
      <c r="Q237" s="215">
        <v>0</v>
      </c>
      <c r="R237" s="215">
        <v>0</v>
      </c>
      <c r="S237" s="215">
        <v>0</v>
      </c>
      <c r="T237" s="215">
        <v>0</v>
      </c>
      <c r="U237" s="215">
        <v>0</v>
      </c>
      <c r="V237" s="215">
        <v>0</v>
      </c>
      <c r="W237" s="215">
        <v>0</v>
      </c>
      <c r="X237" s="215">
        <v>0</v>
      </c>
      <c r="Y237" s="251">
        <v>0</v>
      </c>
      <c r="Z237" s="154">
        <f t="shared" si="132"/>
        <v>0</v>
      </c>
      <c r="AA237" s="156">
        <f t="shared" si="133"/>
        <v>0</v>
      </c>
      <c r="AB237" s="795">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796">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069">
        <f t="shared" si="134"/>
        <v>0</v>
      </c>
      <c r="AE237" s="784">
        <f t="shared" si="127"/>
        <v>0</v>
      </c>
      <c r="AF237" s="784">
        <f t="shared" si="128"/>
        <v>0</v>
      </c>
      <c r="AG237" s="784">
        <f t="shared" si="129"/>
        <v>0</v>
      </c>
      <c r="AH237" s="1015">
        <f t="shared" si="135"/>
        <v>0</v>
      </c>
      <c r="AI237" s="784">
        <f t="shared" si="136"/>
        <v>0</v>
      </c>
    </row>
    <row r="238" spans="1:39" x14ac:dyDescent="0.2">
      <c r="A238" s="202">
        <v>2012</v>
      </c>
      <c r="B238" s="216">
        <v>0</v>
      </c>
      <c r="C238" s="217">
        <v>0</v>
      </c>
      <c r="D238" s="217">
        <v>0</v>
      </c>
      <c r="E238" s="217">
        <v>0</v>
      </c>
      <c r="F238" s="217">
        <v>0</v>
      </c>
      <c r="G238" s="217">
        <v>0</v>
      </c>
      <c r="H238" s="217">
        <v>0</v>
      </c>
      <c r="I238" s="217">
        <v>0</v>
      </c>
      <c r="J238" s="217">
        <v>0</v>
      </c>
      <c r="K238" s="217">
        <v>0</v>
      </c>
      <c r="L238" s="252">
        <v>0</v>
      </c>
      <c r="M238" s="168">
        <f t="shared" si="130"/>
        <v>0</v>
      </c>
      <c r="N238" s="170">
        <f t="shared" si="131"/>
        <v>0</v>
      </c>
      <c r="O238" s="216">
        <v>0</v>
      </c>
      <c r="P238" s="217">
        <v>0</v>
      </c>
      <c r="Q238" s="217">
        <v>0</v>
      </c>
      <c r="R238" s="217">
        <v>0</v>
      </c>
      <c r="S238" s="217">
        <v>0</v>
      </c>
      <c r="T238" s="217">
        <v>0</v>
      </c>
      <c r="U238" s="217">
        <v>0</v>
      </c>
      <c r="V238" s="217">
        <v>0</v>
      </c>
      <c r="W238" s="217">
        <v>0</v>
      </c>
      <c r="X238" s="217">
        <v>0</v>
      </c>
      <c r="Y238" s="252">
        <v>0</v>
      </c>
      <c r="Z238" s="168">
        <f t="shared" si="132"/>
        <v>0</v>
      </c>
      <c r="AA238" s="170">
        <f t="shared" si="133"/>
        <v>0</v>
      </c>
      <c r="AB238" s="795">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796">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069">
        <f t="shared" si="134"/>
        <v>0</v>
      </c>
      <c r="AE238" s="784">
        <f t="shared" si="127"/>
        <v>0</v>
      </c>
      <c r="AF238" s="784">
        <f t="shared" si="128"/>
        <v>0</v>
      </c>
      <c r="AG238" s="784">
        <f t="shared" si="129"/>
        <v>0</v>
      </c>
      <c r="AH238" s="1015">
        <f t="shared" si="135"/>
        <v>0</v>
      </c>
      <c r="AI238" s="784">
        <f t="shared" si="136"/>
        <v>0</v>
      </c>
    </row>
    <row r="239" spans="1:39" x14ac:dyDescent="0.2">
      <c r="A239" s="202">
        <v>2013</v>
      </c>
      <c r="B239" s="216">
        <v>0</v>
      </c>
      <c r="C239" s="217">
        <v>0</v>
      </c>
      <c r="D239" s="217">
        <v>0</v>
      </c>
      <c r="E239" s="217">
        <v>0</v>
      </c>
      <c r="F239" s="217">
        <v>0</v>
      </c>
      <c r="G239" s="217">
        <v>0</v>
      </c>
      <c r="H239" s="217">
        <v>0</v>
      </c>
      <c r="I239" s="217">
        <v>0</v>
      </c>
      <c r="J239" s="217">
        <v>0</v>
      </c>
      <c r="K239" s="217">
        <v>0</v>
      </c>
      <c r="L239" s="252">
        <v>0</v>
      </c>
      <c r="M239" s="168">
        <f t="shared" si="130"/>
        <v>0</v>
      </c>
      <c r="N239" s="170">
        <f t="shared" si="131"/>
        <v>0</v>
      </c>
      <c r="O239" s="216">
        <v>0</v>
      </c>
      <c r="P239" s="217">
        <v>0</v>
      </c>
      <c r="Q239" s="217">
        <v>0</v>
      </c>
      <c r="R239" s="217">
        <v>0</v>
      </c>
      <c r="S239" s="217">
        <v>0</v>
      </c>
      <c r="T239" s="217">
        <v>0</v>
      </c>
      <c r="U239" s="217">
        <v>0</v>
      </c>
      <c r="V239" s="217">
        <v>0</v>
      </c>
      <c r="W239" s="217">
        <v>0</v>
      </c>
      <c r="X239" s="217">
        <v>0</v>
      </c>
      <c r="Y239" s="252">
        <v>0</v>
      </c>
      <c r="Z239" s="168">
        <f t="shared" si="132"/>
        <v>0</v>
      </c>
      <c r="AA239" s="170">
        <f t="shared" si="133"/>
        <v>0</v>
      </c>
      <c r="AB239" s="795">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796">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069">
        <f t="shared" si="134"/>
        <v>0</v>
      </c>
      <c r="AE239" s="784">
        <f t="shared" si="127"/>
        <v>0</v>
      </c>
      <c r="AF239" s="784">
        <f t="shared" si="128"/>
        <v>0</v>
      </c>
      <c r="AG239" s="784">
        <f t="shared" si="129"/>
        <v>0</v>
      </c>
      <c r="AH239" s="1015">
        <f t="shared" si="135"/>
        <v>0</v>
      </c>
      <c r="AI239" s="784">
        <f t="shared" si="136"/>
        <v>0</v>
      </c>
    </row>
    <row r="240" spans="1:39" x14ac:dyDescent="0.2">
      <c r="A240" s="202">
        <v>2014</v>
      </c>
      <c r="B240" s="216">
        <v>0</v>
      </c>
      <c r="C240" s="217">
        <v>0</v>
      </c>
      <c r="D240" s="217">
        <v>0</v>
      </c>
      <c r="E240" s="217">
        <v>0</v>
      </c>
      <c r="F240" s="217">
        <v>0</v>
      </c>
      <c r="G240" s="217">
        <v>0</v>
      </c>
      <c r="H240" s="217">
        <v>0</v>
      </c>
      <c r="I240" s="217">
        <v>0</v>
      </c>
      <c r="J240" s="217">
        <v>0</v>
      </c>
      <c r="K240" s="217">
        <v>0</v>
      </c>
      <c r="L240" s="252">
        <v>0</v>
      </c>
      <c r="M240" s="168">
        <f t="shared" si="130"/>
        <v>0</v>
      </c>
      <c r="N240" s="170">
        <f t="shared" si="131"/>
        <v>0</v>
      </c>
      <c r="O240" s="216">
        <v>0</v>
      </c>
      <c r="P240" s="217">
        <v>0</v>
      </c>
      <c r="Q240" s="217">
        <v>0</v>
      </c>
      <c r="R240" s="217">
        <v>0</v>
      </c>
      <c r="S240" s="217">
        <v>0</v>
      </c>
      <c r="T240" s="217">
        <v>0</v>
      </c>
      <c r="U240" s="217">
        <v>0</v>
      </c>
      <c r="V240" s="217">
        <v>0</v>
      </c>
      <c r="W240" s="217">
        <v>0</v>
      </c>
      <c r="X240" s="217">
        <v>0</v>
      </c>
      <c r="Y240" s="252">
        <v>0</v>
      </c>
      <c r="Z240" s="168">
        <f t="shared" si="132"/>
        <v>0</v>
      </c>
      <c r="AA240" s="170">
        <f t="shared" si="133"/>
        <v>0</v>
      </c>
      <c r="AB240" s="795">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796">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069">
        <f t="shared" si="134"/>
        <v>0</v>
      </c>
      <c r="AE240" s="784">
        <f t="shared" si="127"/>
        <v>0</v>
      </c>
      <c r="AF240" s="784">
        <f t="shared" si="128"/>
        <v>0</v>
      </c>
      <c r="AG240" s="784">
        <f t="shared" si="129"/>
        <v>0</v>
      </c>
      <c r="AH240" s="1015">
        <f t="shared" si="135"/>
        <v>0</v>
      </c>
      <c r="AI240" s="784">
        <f t="shared" si="136"/>
        <v>0</v>
      </c>
    </row>
    <row r="241" spans="1:35" ht="13.5" thickBot="1" x14ac:dyDescent="0.25">
      <c r="A241" s="200">
        <v>2015</v>
      </c>
      <c r="B241" s="218">
        <v>0</v>
      </c>
      <c r="C241" s="219">
        <v>0</v>
      </c>
      <c r="D241" s="219">
        <v>0</v>
      </c>
      <c r="E241" s="219">
        <v>0</v>
      </c>
      <c r="F241" s="219">
        <v>0</v>
      </c>
      <c r="G241" s="219">
        <v>0</v>
      </c>
      <c r="H241" s="219">
        <v>0</v>
      </c>
      <c r="I241" s="219">
        <v>0</v>
      </c>
      <c r="J241" s="219">
        <v>0</v>
      </c>
      <c r="K241" s="219">
        <v>0</v>
      </c>
      <c r="L241" s="253">
        <v>0</v>
      </c>
      <c r="M241" s="182">
        <f t="shared" si="130"/>
        <v>0</v>
      </c>
      <c r="N241" s="184">
        <f t="shared" si="131"/>
        <v>0</v>
      </c>
      <c r="O241" s="218">
        <v>0</v>
      </c>
      <c r="P241" s="219">
        <v>0</v>
      </c>
      <c r="Q241" s="219">
        <v>0</v>
      </c>
      <c r="R241" s="219">
        <v>0</v>
      </c>
      <c r="S241" s="219">
        <v>0</v>
      </c>
      <c r="T241" s="219">
        <v>0</v>
      </c>
      <c r="U241" s="219">
        <v>0</v>
      </c>
      <c r="V241" s="219">
        <v>0</v>
      </c>
      <c r="W241" s="219">
        <v>0</v>
      </c>
      <c r="X241" s="219">
        <v>0</v>
      </c>
      <c r="Y241" s="253">
        <v>0</v>
      </c>
      <c r="Z241" s="182">
        <f t="shared" si="132"/>
        <v>0</v>
      </c>
      <c r="AA241" s="184">
        <f t="shared" si="133"/>
        <v>0</v>
      </c>
      <c r="AB241" s="795">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796">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069">
        <f t="shared" si="134"/>
        <v>0</v>
      </c>
      <c r="AE241" s="784">
        <f t="shared" si="127"/>
        <v>0</v>
      </c>
      <c r="AF241" s="784">
        <f t="shared" si="128"/>
        <v>0</v>
      </c>
      <c r="AG241" s="784">
        <f t="shared" si="129"/>
        <v>0</v>
      </c>
      <c r="AH241" s="1015">
        <f t="shared" si="135"/>
        <v>0</v>
      </c>
      <c r="AI241" s="784">
        <f t="shared" si="136"/>
        <v>0</v>
      </c>
    </row>
    <row r="242" spans="1:35" x14ac:dyDescent="0.2">
      <c r="A242" s="201">
        <v>2016</v>
      </c>
      <c r="B242" s="214">
        <v>0</v>
      </c>
      <c r="C242" s="215">
        <v>0</v>
      </c>
      <c r="D242" s="215">
        <v>0</v>
      </c>
      <c r="E242" s="215">
        <v>0</v>
      </c>
      <c r="F242" s="215">
        <v>0</v>
      </c>
      <c r="G242" s="215">
        <v>0</v>
      </c>
      <c r="H242" s="215">
        <v>0</v>
      </c>
      <c r="I242" s="215">
        <v>0</v>
      </c>
      <c r="J242" s="215">
        <v>0</v>
      </c>
      <c r="K242" s="215">
        <v>0</v>
      </c>
      <c r="L242" s="251">
        <v>0</v>
      </c>
      <c r="M242" s="154">
        <f t="shared" si="130"/>
        <v>0</v>
      </c>
      <c r="N242" s="156">
        <f t="shared" si="131"/>
        <v>0</v>
      </c>
      <c r="O242" s="214">
        <v>0</v>
      </c>
      <c r="P242" s="215">
        <v>0</v>
      </c>
      <c r="Q242" s="215">
        <v>0</v>
      </c>
      <c r="R242" s="215">
        <v>0</v>
      </c>
      <c r="S242" s="215">
        <v>0</v>
      </c>
      <c r="T242" s="215">
        <v>0</v>
      </c>
      <c r="U242" s="215">
        <v>0</v>
      </c>
      <c r="V242" s="215">
        <v>0</v>
      </c>
      <c r="W242" s="215">
        <v>0</v>
      </c>
      <c r="X242" s="215">
        <v>0</v>
      </c>
      <c r="Y242" s="251">
        <v>0</v>
      </c>
      <c r="Z242" s="154">
        <f t="shared" si="132"/>
        <v>0</v>
      </c>
      <c r="AA242" s="156">
        <f t="shared" si="133"/>
        <v>0</v>
      </c>
      <c r="AB242" s="795">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796">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069">
        <f t="shared" si="134"/>
        <v>0</v>
      </c>
      <c r="AE242" s="784">
        <f t="shared" si="127"/>
        <v>0</v>
      </c>
      <c r="AF242" s="784">
        <f t="shared" si="128"/>
        <v>0</v>
      </c>
      <c r="AG242" s="784">
        <f t="shared" si="129"/>
        <v>0</v>
      </c>
      <c r="AH242" s="1015">
        <f t="shared" si="135"/>
        <v>0</v>
      </c>
      <c r="AI242" s="784">
        <f t="shared" si="136"/>
        <v>0</v>
      </c>
    </row>
    <row r="243" spans="1:35" x14ac:dyDescent="0.2">
      <c r="A243" s="202">
        <v>2017</v>
      </c>
      <c r="B243" s="216">
        <v>0</v>
      </c>
      <c r="C243" s="217">
        <v>0</v>
      </c>
      <c r="D243" s="217">
        <v>0</v>
      </c>
      <c r="E243" s="217">
        <v>0</v>
      </c>
      <c r="F243" s="217">
        <v>0</v>
      </c>
      <c r="G243" s="217">
        <v>0</v>
      </c>
      <c r="H243" s="217">
        <v>0</v>
      </c>
      <c r="I243" s="217">
        <v>0</v>
      </c>
      <c r="J243" s="217">
        <v>0</v>
      </c>
      <c r="K243" s="217">
        <v>0</v>
      </c>
      <c r="L243" s="252">
        <v>0</v>
      </c>
      <c r="M243" s="168">
        <f t="shared" si="130"/>
        <v>0</v>
      </c>
      <c r="N243" s="170">
        <f t="shared" si="131"/>
        <v>0</v>
      </c>
      <c r="O243" s="216">
        <v>0</v>
      </c>
      <c r="P243" s="217">
        <v>0</v>
      </c>
      <c r="Q243" s="217">
        <v>0</v>
      </c>
      <c r="R243" s="217">
        <v>0</v>
      </c>
      <c r="S243" s="217">
        <v>0</v>
      </c>
      <c r="T243" s="217">
        <v>0</v>
      </c>
      <c r="U243" s="217">
        <v>0</v>
      </c>
      <c r="V243" s="217">
        <v>0</v>
      </c>
      <c r="W243" s="217">
        <v>0</v>
      </c>
      <c r="X243" s="217">
        <v>0</v>
      </c>
      <c r="Y243" s="252">
        <v>0</v>
      </c>
      <c r="Z243" s="168">
        <f t="shared" si="132"/>
        <v>0</v>
      </c>
      <c r="AA243" s="170">
        <f t="shared" si="133"/>
        <v>0</v>
      </c>
      <c r="AB243" s="795">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796">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069">
        <f t="shared" si="134"/>
        <v>0</v>
      </c>
      <c r="AE243" s="784">
        <f t="shared" si="127"/>
        <v>0</v>
      </c>
      <c r="AF243" s="784">
        <f t="shared" si="128"/>
        <v>0</v>
      </c>
      <c r="AG243" s="784">
        <f t="shared" si="129"/>
        <v>0</v>
      </c>
      <c r="AH243" s="1015">
        <f t="shared" si="135"/>
        <v>0</v>
      </c>
      <c r="AI243" s="784">
        <f t="shared" si="136"/>
        <v>0</v>
      </c>
    </row>
    <row r="244" spans="1:35" x14ac:dyDescent="0.2">
      <c r="A244" s="202">
        <v>2018</v>
      </c>
      <c r="B244" s="216">
        <v>0</v>
      </c>
      <c r="C244" s="217">
        <v>0</v>
      </c>
      <c r="D244" s="217">
        <v>0</v>
      </c>
      <c r="E244" s="217">
        <v>0</v>
      </c>
      <c r="F244" s="217">
        <v>0</v>
      </c>
      <c r="G244" s="217">
        <v>0</v>
      </c>
      <c r="H244" s="217">
        <v>0</v>
      </c>
      <c r="I244" s="217">
        <v>0</v>
      </c>
      <c r="J244" s="217">
        <v>0</v>
      </c>
      <c r="K244" s="217">
        <v>0</v>
      </c>
      <c r="L244" s="252">
        <v>0</v>
      </c>
      <c r="M244" s="168">
        <f t="shared" si="130"/>
        <v>0</v>
      </c>
      <c r="N244" s="170">
        <f t="shared" si="131"/>
        <v>0</v>
      </c>
      <c r="O244" s="216">
        <v>0</v>
      </c>
      <c r="P244" s="217">
        <v>0</v>
      </c>
      <c r="Q244" s="217">
        <v>0</v>
      </c>
      <c r="R244" s="217">
        <v>0</v>
      </c>
      <c r="S244" s="217">
        <v>0</v>
      </c>
      <c r="T244" s="217">
        <v>0</v>
      </c>
      <c r="U244" s="217">
        <v>0</v>
      </c>
      <c r="V244" s="217">
        <v>0</v>
      </c>
      <c r="W244" s="217">
        <v>0</v>
      </c>
      <c r="X244" s="217">
        <v>0</v>
      </c>
      <c r="Y244" s="252">
        <v>0</v>
      </c>
      <c r="Z244" s="168">
        <f t="shared" si="132"/>
        <v>0</v>
      </c>
      <c r="AA244" s="170">
        <f t="shared" si="133"/>
        <v>0</v>
      </c>
      <c r="AB244" s="795">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796">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069">
        <f t="shared" si="134"/>
        <v>0</v>
      </c>
      <c r="AE244" s="784">
        <f t="shared" si="127"/>
        <v>0</v>
      </c>
      <c r="AF244" s="784">
        <f t="shared" si="128"/>
        <v>0</v>
      </c>
      <c r="AG244" s="784">
        <f t="shared" si="129"/>
        <v>0</v>
      </c>
      <c r="AH244" s="1015">
        <f t="shared" si="135"/>
        <v>0</v>
      </c>
      <c r="AI244" s="784">
        <f t="shared" si="136"/>
        <v>0</v>
      </c>
    </row>
    <row r="245" spans="1:35" x14ac:dyDescent="0.2">
      <c r="A245" s="202">
        <v>2019</v>
      </c>
      <c r="B245" s="216">
        <v>0</v>
      </c>
      <c r="C245" s="217">
        <v>0</v>
      </c>
      <c r="D245" s="217">
        <v>0</v>
      </c>
      <c r="E245" s="217">
        <v>0</v>
      </c>
      <c r="F245" s="217">
        <v>0</v>
      </c>
      <c r="G245" s="217">
        <v>0</v>
      </c>
      <c r="H245" s="217">
        <v>0</v>
      </c>
      <c r="I245" s="217">
        <v>0</v>
      </c>
      <c r="J245" s="217">
        <v>0</v>
      </c>
      <c r="K245" s="217">
        <v>0</v>
      </c>
      <c r="L245" s="252">
        <v>0</v>
      </c>
      <c r="M245" s="168">
        <f t="shared" si="130"/>
        <v>0</v>
      </c>
      <c r="N245" s="170">
        <f t="shared" si="131"/>
        <v>0</v>
      </c>
      <c r="O245" s="216">
        <v>0</v>
      </c>
      <c r="P245" s="217">
        <v>0</v>
      </c>
      <c r="Q245" s="217">
        <v>0</v>
      </c>
      <c r="R245" s="217">
        <v>0</v>
      </c>
      <c r="S245" s="217">
        <v>0</v>
      </c>
      <c r="T245" s="217">
        <v>0</v>
      </c>
      <c r="U245" s="217">
        <v>0</v>
      </c>
      <c r="V245" s="217">
        <v>0</v>
      </c>
      <c r="W245" s="217">
        <v>0</v>
      </c>
      <c r="X245" s="217">
        <v>0</v>
      </c>
      <c r="Y245" s="252">
        <v>0</v>
      </c>
      <c r="Z245" s="168">
        <f t="shared" si="132"/>
        <v>0</v>
      </c>
      <c r="AA245" s="170">
        <f t="shared" si="133"/>
        <v>0</v>
      </c>
      <c r="AB245" s="795">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796">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069">
        <f t="shared" si="134"/>
        <v>0</v>
      </c>
      <c r="AE245" s="784">
        <f t="shared" si="127"/>
        <v>0</v>
      </c>
      <c r="AF245" s="784">
        <f t="shared" si="128"/>
        <v>0</v>
      </c>
      <c r="AG245" s="784">
        <f t="shared" si="129"/>
        <v>0</v>
      </c>
      <c r="AH245" s="1015">
        <f t="shared" si="135"/>
        <v>0</v>
      </c>
      <c r="AI245" s="784">
        <f t="shared" si="136"/>
        <v>0</v>
      </c>
    </row>
    <row r="246" spans="1:35" ht="13.5" thickBot="1" x14ac:dyDescent="0.25">
      <c r="A246" s="200">
        <v>2020</v>
      </c>
      <c r="B246" s="218">
        <v>0</v>
      </c>
      <c r="C246" s="219">
        <v>0</v>
      </c>
      <c r="D246" s="219">
        <v>0</v>
      </c>
      <c r="E246" s="219">
        <v>0</v>
      </c>
      <c r="F246" s="219">
        <v>0</v>
      </c>
      <c r="G246" s="219">
        <v>0</v>
      </c>
      <c r="H246" s="219">
        <v>0</v>
      </c>
      <c r="I246" s="219">
        <v>0</v>
      </c>
      <c r="J246" s="219">
        <v>0</v>
      </c>
      <c r="K246" s="219">
        <v>0</v>
      </c>
      <c r="L246" s="253">
        <v>0</v>
      </c>
      <c r="M246" s="182">
        <f t="shared" si="130"/>
        <v>0</v>
      </c>
      <c r="N246" s="184">
        <f t="shared" si="131"/>
        <v>0</v>
      </c>
      <c r="O246" s="218">
        <v>0</v>
      </c>
      <c r="P246" s="219">
        <v>0</v>
      </c>
      <c r="Q246" s="219">
        <v>0</v>
      </c>
      <c r="R246" s="219">
        <v>0</v>
      </c>
      <c r="S246" s="219">
        <v>0</v>
      </c>
      <c r="T246" s="219">
        <v>0</v>
      </c>
      <c r="U246" s="219">
        <v>0</v>
      </c>
      <c r="V246" s="219">
        <v>0</v>
      </c>
      <c r="W246" s="219">
        <v>0</v>
      </c>
      <c r="X246" s="219">
        <v>0</v>
      </c>
      <c r="Y246" s="253">
        <v>0</v>
      </c>
      <c r="Z246" s="182">
        <f t="shared" si="132"/>
        <v>0</v>
      </c>
      <c r="AA246" s="184">
        <f t="shared" si="133"/>
        <v>0</v>
      </c>
      <c r="AB246" s="795">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796">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069">
        <f t="shared" si="134"/>
        <v>0</v>
      </c>
      <c r="AE246" s="784">
        <f t="shared" si="127"/>
        <v>0</v>
      </c>
      <c r="AF246" s="784">
        <f t="shared" si="128"/>
        <v>0</v>
      </c>
      <c r="AG246" s="784">
        <f t="shared" si="129"/>
        <v>0</v>
      </c>
      <c r="AH246" s="1015">
        <f t="shared" si="135"/>
        <v>0</v>
      </c>
      <c r="AI246" s="784">
        <f t="shared" si="136"/>
        <v>0</v>
      </c>
    </row>
    <row r="247" spans="1:35" x14ac:dyDescent="0.2">
      <c r="A247" s="201">
        <v>2021</v>
      </c>
      <c r="B247" s="214">
        <v>0</v>
      </c>
      <c r="C247" s="215">
        <v>0</v>
      </c>
      <c r="D247" s="215">
        <v>0</v>
      </c>
      <c r="E247" s="215">
        <v>0</v>
      </c>
      <c r="F247" s="215">
        <v>0</v>
      </c>
      <c r="G247" s="215">
        <v>0</v>
      </c>
      <c r="H247" s="215">
        <v>0</v>
      </c>
      <c r="I247" s="215">
        <v>0</v>
      </c>
      <c r="J247" s="215">
        <v>0</v>
      </c>
      <c r="K247" s="215">
        <v>0</v>
      </c>
      <c r="L247" s="251">
        <v>0</v>
      </c>
      <c r="M247" s="154">
        <f t="shared" si="130"/>
        <v>0</v>
      </c>
      <c r="N247" s="156">
        <f t="shared" si="131"/>
        <v>0</v>
      </c>
      <c r="O247" s="214">
        <v>0</v>
      </c>
      <c r="P247" s="215">
        <v>0</v>
      </c>
      <c r="Q247" s="215">
        <v>0</v>
      </c>
      <c r="R247" s="215">
        <v>0</v>
      </c>
      <c r="S247" s="215">
        <v>0</v>
      </c>
      <c r="T247" s="215">
        <v>0</v>
      </c>
      <c r="U247" s="215">
        <v>0</v>
      </c>
      <c r="V247" s="215">
        <v>0</v>
      </c>
      <c r="W247" s="215">
        <v>0</v>
      </c>
      <c r="X247" s="215">
        <v>0</v>
      </c>
      <c r="Y247" s="251">
        <v>0</v>
      </c>
      <c r="Z247" s="154">
        <f t="shared" si="132"/>
        <v>0</v>
      </c>
      <c r="AA247" s="156">
        <f t="shared" si="133"/>
        <v>0</v>
      </c>
      <c r="AB247" s="795">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796">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069">
        <f t="shared" si="134"/>
        <v>0</v>
      </c>
      <c r="AE247" s="784">
        <f t="shared" si="127"/>
        <v>0</v>
      </c>
      <c r="AF247" s="784">
        <f t="shared" si="128"/>
        <v>0</v>
      </c>
      <c r="AG247" s="784">
        <f t="shared" si="129"/>
        <v>0</v>
      </c>
      <c r="AH247" s="1015">
        <f t="shared" si="135"/>
        <v>0</v>
      </c>
      <c r="AI247" s="784">
        <f t="shared" si="136"/>
        <v>0</v>
      </c>
    </row>
    <row r="248" spans="1:35" x14ac:dyDescent="0.2">
      <c r="A248" s="202">
        <v>2022</v>
      </c>
      <c r="B248" s="216">
        <v>0</v>
      </c>
      <c r="C248" s="217">
        <v>0</v>
      </c>
      <c r="D248" s="217">
        <v>0</v>
      </c>
      <c r="E248" s="217">
        <v>0</v>
      </c>
      <c r="F248" s="217">
        <v>0</v>
      </c>
      <c r="G248" s="217">
        <v>0</v>
      </c>
      <c r="H248" s="217">
        <v>0</v>
      </c>
      <c r="I248" s="217">
        <v>0</v>
      </c>
      <c r="J248" s="217">
        <v>0</v>
      </c>
      <c r="K248" s="217">
        <v>0</v>
      </c>
      <c r="L248" s="252">
        <v>0</v>
      </c>
      <c r="M248" s="168">
        <f t="shared" si="130"/>
        <v>0</v>
      </c>
      <c r="N248" s="170">
        <f t="shared" si="131"/>
        <v>0</v>
      </c>
      <c r="O248" s="216">
        <v>0</v>
      </c>
      <c r="P248" s="217">
        <v>0</v>
      </c>
      <c r="Q248" s="217">
        <v>0</v>
      </c>
      <c r="R248" s="217">
        <v>0</v>
      </c>
      <c r="S248" s="217">
        <v>0</v>
      </c>
      <c r="T248" s="217">
        <v>0</v>
      </c>
      <c r="U248" s="217">
        <v>0</v>
      </c>
      <c r="V248" s="217">
        <v>0</v>
      </c>
      <c r="W248" s="217">
        <v>0</v>
      </c>
      <c r="X248" s="217">
        <v>0</v>
      </c>
      <c r="Y248" s="252">
        <v>0</v>
      </c>
      <c r="Z248" s="168">
        <f t="shared" si="132"/>
        <v>0</v>
      </c>
      <c r="AA248" s="170">
        <f t="shared" si="133"/>
        <v>0</v>
      </c>
      <c r="AB248" s="795">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796">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069">
        <f t="shared" si="134"/>
        <v>0</v>
      </c>
      <c r="AE248" s="784">
        <f>SUMPRODUCT($B$74:$L$74,B248:L248)</f>
        <v>0</v>
      </c>
      <c r="AF248" s="784">
        <f>SUMPRODUCT($O$74:$Y$74,O248:Y248)</f>
        <v>0</v>
      </c>
      <c r="AG248" s="784">
        <f>SUM(AE248:AF248)</f>
        <v>0</v>
      </c>
      <c r="AH248" s="1015">
        <f t="shared" si="135"/>
        <v>0</v>
      </c>
      <c r="AI248" s="784">
        <f t="shared" si="136"/>
        <v>0</v>
      </c>
    </row>
    <row r="249" spans="1:35" x14ac:dyDescent="0.2">
      <c r="A249" s="202">
        <v>2023</v>
      </c>
      <c r="B249" s="216">
        <v>0</v>
      </c>
      <c r="C249" s="217">
        <v>0</v>
      </c>
      <c r="D249" s="217">
        <v>0</v>
      </c>
      <c r="E249" s="217">
        <v>0</v>
      </c>
      <c r="F249" s="217">
        <v>0</v>
      </c>
      <c r="G249" s="217">
        <v>0</v>
      </c>
      <c r="H249" s="217">
        <v>0</v>
      </c>
      <c r="I249" s="217">
        <v>0</v>
      </c>
      <c r="J249" s="217">
        <v>0</v>
      </c>
      <c r="K249" s="217">
        <v>0</v>
      </c>
      <c r="L249" s="252">
        <v>0</v>
      </c>
      <c r="M249" s="168">
        <f t="shared" si="130"/>
        <v>0</v>
      </c>
      <c r="N249" s="170">
        <f t="shared" si="131"/>
        <v>0</v>
      </c>
      <c r="O249" s="216">
        <v>0</v>
      </c>
      <c r="P249" s="217">
        <v>0</v>
      </c>
      <c r="Q249" s="217">
        <v>0</v>
      </c>
      <c r="R249" s="217">
        <v>0</v>
      </c>
      <c r="S249" s="217">
        <v>0</v>
      </c>
      <c r="T249" s="217">
        <v>0</v>
      </c>
      <c r="U249" s="217">
        <v>0</v>
      </c>
      <c r="V249" s="217">
        <v>0</v>
      </c>
      <c r="W249" s="217">
        <v>0</v>
      </c>
      <c r="X249" s="217">
        <v>0</v>
      </c>
      <c r="Y249" s="252">
        <v>0</v>
      </c>
      <c r="Z249" s="168">
        <f t="shared" si="132"/>
        <v>0</v>
      </c>
      <c r="AA249" s="170">
        <f t="shared" si="133"/>
        <v>0</v>
      </c>
      <c r="AB249" s="795">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796">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069">
        <f t="shared" si="134"/>
        <v>0</v>
      </c>
      <c r="AE249" s="784">
        <f t="shared" ref="AE249:AE275" si="137">SUMPRODUCT($B$74:$L$74,B249:L249)</f>
        <v>0</v>
      </c>
      <c r="AF249" s="784">
        <f t="shared" ref="AF249:AF275" si="138">SUMPRODUCT($O$74:$Y$74,O249:Y249)</f>
        <v>0</v>
      </c>
      <c r="AG249" s="784">
        <f t="shared" ref="AG249:AG275" si="139">SUM(AE249:AF249)</f>
        <v>0</v>
      </c>
      <c r="AH249" s="1015">
        <f t="shared" si="135"/>
        <v>0</v>
      </c>
      <c r="AI249" s="784">
        <f t="shared" si="136"/>
        <v>0</v>
      </c>
    </row>
    <row r="250" spans="1:35" x14ac:dyDescent="0.2">
      <c r="A250" s="202">
        <v>2024</v>
      </c>
      <c r="B250" s="216">
        <v>0</v>
      </c>
      <c r="C250" s="217">
        <v>0</v>
      </c>
      <c r="D250" s="217">
        <v>0</v>
      </c>
      <c r="E250" s="217">
        <v>0</v>
      </c>
      <c r="F250" s="217">
        <v>0</v>
      </c>
      <c r="G250" s="217">
        <v>0</v>
      </c>
      <c r="H250" s="217">
        <v>0</v>
      </c>
      <c r="I250" s="217">
        <v>0</v>
      </c>
      <c r="J250" s="217">
        <v>0</v>
      </c>
      <c r="K250" s="217">
        <v>0</v>
      </c>
      <c r="L250" s="252">
        <v>0</v>
      </c>
      <c r="M250" s="168">
        <f t="shared" si="130"/>
        <v>0</v>
      </c>
      <c r="N250" s="170">
        <f t="shared" si="131"/>
        <v>0</v>
      </c>
      <c r="O250" s="216">
        <v>0</v>
      </c>
      <c r="P250" s="217">
        <v>0</v>
      </c>
      <c r="Q250" s="217">
        <v>0</v>
      </c>
      <c r="R250" s="217">
        <v>0</v>
      </c>
      <c r="S250" s="217">
        <v>0</v>
      </c>
      <c r="T250" s="217">
        <v>0</v>
      </c>
      <c r="U250" s="217">
        <v>0</v>
      </c>
      <c r="V250" s="217">
        <v>0</v>
      </c>
      <c r="W250" s="217">
        <v>0</v>
      </c>
      <c r="X250" s="217">
        <v>0</v>
      </c>
      <c r="Y250" s="252">
        <v>0</v>
      </c>
      <c r="Z250" s="168">
        <f t="shared" si="132"/>
        <v>0</v>
      </c>
      <c r="AA250" s="170">
        <f t="shared" si="133"/>
        <v>0</v>
      </c>
      <c r="AB250" s="795">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796">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069">
        <f t="shared" si="134"/>
        <v>0</v>
      </c>
      <c r="AE250" s="784">
        <f t="shared" si="137"/>
        <v>0</v>
      </c>
      <c r="AF250" s="784">
        <f t="shared" si="138"/>
        <v>0</v>
      </c>
      <c r="AG250" s="784">
        <f t="shared" si="139"/>
        <v>0</v>
      </c>
      <c r="AH250" s="1015">
        <f t="shared" si="135"/>
        <v>0</v>
      </c>
      <c r="AI250" s="784">
        <f t="shared" si="136"/>
        <v>0</v>
      </c>
    </row>
    <row r="251" spans="1:35" ht="13.5" thickBot="1" x14ac:dyDescent="0.25">
      <c r="A251" s="200">
        <v>2025</v>
      </c>
      <c r="B251" s="218">
        <v>0</v>
      </c>
      <c r="C251" s="219">
        <v>0</v>
      </c>
      <c r="D251" s="219">
        <v>0</v>
      </c>
      <c r="E251" s="219">
        <v>0</v>
      </c>
      <c r="F251" s="219">
        <v>0</v>
      </c>
      <c r="G251" s="219">
        <v>0</v>
      </c>
      <c r="H251" s="219">
        <v>0</v>
      </c>
      <c r="I251" s="219">
        <v>0</v>
      </c>
      <c r="J251" s="219">
        <v>0</v>
      </c>
      <c r="K251" s="219">
        <v>0</v>
      </c>
      <c r="L251" s="253">
        <v>0</v>
      </c>
      <c r="M251" s="182">
        <f t="shared" si="130"/>
        <v>0</v>
      </c>
      <c r="N251" s="184">
        <f t="shared" si="131"/>
        <v>0</v>
      </c>
      <c r="O251" s="218">
        <v>0</v>
      </c>
      <c r="P251" s="219">
        <v>0</v>
      </c>
      <c r="Q251" s="219">
        <v>0</v>
      </c>
      <c r="R251" s="219">
        <v>0</v>
      </c>
      <c r="S251" s="219">
        <v>0</v>
      </c>
      <c r="T251" s="219">
        <v>0</v>
      </c>
      <c r="U251" s="219">
        <v>0</v>
      </c>
      <c r="V251" s="219">
        <v>0</v>
      </c>
      <c r="W251" s="219">
        <v>0</v>
      </c>
      <c r="X251" s="219">
        <v>0</v>
      </c>
      <c r="Y251" s="253">
        <v>0</v>
      </c>
      <c r="Z251" s="182">
        <f t="shared" si="132"/>
        <v>0</v>
      </c>
      <c r="AA251" s="184">
        <f t="shared" si="133"/>
        <v>0</v>
      </c>
      <c r="AB251" s="795">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796">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069">
        <f t="shared" si="134"/>
        <v>0</v>
      </c>
      <c r="AE251" s="784">
        <f t="shared" si="137"/>
        <v>0</v>
      </c>
      <c r="AF251" s="784">
        <f t="shared" si="138"/>
        <v>0</v>
      </c>
      <c r="AG251" s="784">
        <f t="shared" si="139"/>
        <v>0</v>
      </c>
      <c r="AH251" s="1015">
        <f t="shared" si="135"/>
        <v>0</v>
      </c>
      <c r="AI251" s="784">
        <f t="shared" si="136"/>
        <v>0</v>
      </c>
    </row>
    <row r="252" spans="1:35" x14ac:dyDescent="0.2">
      <c r="A252" s="201">
        <v>2026</v>
      </c>
      <c r="B252" s="214">
        <v>0</v>
      </c>
      <c r="C252" s="215">
        <v>0</v>
      </c>
      <c r="D252" s="215">
        <v>0</v>
      </c>
      <c r="E252" s="215">
        <v>0</v>
      </c>
      <c r="F252" s="215">
        <v>0</v>
      </c>
      <c r="G252" s="215">
        <v>0</v>
      </c>
      <c r="H252" s="215">
        <v>0</v>
      </c>
      <c r="I252" s="215">
        <v>0</v>
      </c>
      <c r="J252" s="215">
        <v>0</v>
      </c>
      <c r="K252" s="215">
        <v>0</v>
      </c>
      <c r="L252" s="251">
        <v>0</v>
      </c>
      <c r="M252" s="154">
        <f t="shared" si="130"/>
        <v>0</v>
      </c>
      <c r="N252" s="156">
        <f t="shared" si="131"/>
        <v>0</v>
      </c>
      <c r="O252" s="214">
        <v>0</v>
      </c>
      <c r="P252" s="215">
        <v>0</v>
      </c>
      <c r="Q252" s="215">
        <v>0</v>
      </c>
      <c r="R252" s="215">
        <v>0</v>
      </c>
      <c r="S252" s="215">
        <v>0</v>
      </c>
      <c r="T252" s="215">
        <v>0</v>
      </c>
      <c r="U252" s="215">
        <v>0</v>
      </c>
      <c r="V252" s="215">
        <v>0</v>
      </c>
      <c r="W252" s="215">
        <v>0</v>
      </c>
      <c r="X252" s="215">
        <v>0</v>
      </c>
      <c r="Y252" s="251">
        <v>0</v>
      </c>
      <c r="Z252" s="154">
        <f t="shared" si="132"/>
        <v>0</v>
      </c>
      <c r="AA252" s="156">
        <f t="shared" si="133"/>
        <v>0</v>
      </c>
      <c r="AB252" s="795">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796">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069">
        <f t="shared" si="134"/>
        <v>0</v>
      </c>
      <c r="AE252" s="784">
        <f t="shared" si="137"/>
        <v>0</v>
      </c>
      <c r="AF252" s="784">
        <f t="shared" si="138"/>
        <v>0</v>
      </c>
      <c r="AG252" s="784">
        <f t="shared" si="139"/>
        <v>0</v>
      </c>
      <c r="AH252" s="1015">
        <f t="shared" si="135"/>
        <v>0</v>
      </c>
      <c r="AI252" s="784">
        <f t="shared" si="136"/>
        <v>0</v>
      </c>
    </row>
    <row r="253" spans="1:35" x14ac:dyDescent="0.2">
      <c r="A253" s="202">
        <v>2027</v>
      </c>
      <c r="B253" s="216">
        <v>0</v>
      </c>
      <c r="C253" s="217">
        <v>0</v>
      </c>
      <c r="D253" s="217">
        <v>0</v>
      </c>
      <c r="E253" s="217">
        <v>0</v>
      </c>
      <c r="F253" s="217">
        <v>0</v>
      </c>
      <c r="G253" s="217">
        <v>0</v>
      </c>
      <c r="H253" s="217">
        <v>0</v>
      </c>
      <c r="I253" s="217">
        <v>0</v>
      </c>
      <c r="J253" s="217">
        <v>0</v>
      </c>
      <c r="K253" s="217">
        <v>0</v>
      </c>
      <c r="L253" s="252">
        <v>0</v>
      </c>
      <c r="M253" s="168">
        <f t="shared" si="130"/>
        <v>0</v>
      </c>
      <c r="N253" s="170">
        <f t="shared" si="131"/>
        <v>0</v>
      </c>
      <c r="O253" s="216">
        <v>0</v>
      </c>
      <c r="P253" s="217">
        <v>0</v>
      </c>
      <c r="Q253" s="217">
        <v>0</v>
      </c>
      <c r="R253" s="217">
        <v>0</v>
      </c>
      <c r="S253" s="217">
        <v>0</v>
      </c>
      <c r="T253" s="217">
        <v>0</v>
      </c>
      <c r="U253" s="217">
        <v>0</v>
      </c>
      <c r="V253" s="217">
        <v>0</v>
      </c>
      <c r="W253" s="217">
        <v>0</v>
      </c>
      <c r="X253" s="217">
        <v>0</v>
      </c>
      <c r="Y253" s="252">
        <v>0</v>
      </c>
      <c r="Z253" s="168">
        <f t="shared" si="132"/>
        <v>0</v>
      </c>
      <c r="AA253" s="170">
        <f t="shared" si="133"/>
        <v>0</v>
      </c>
      <c r="AB253" s="795">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796">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069">
        <f t="shared" si="134"/>
        <v>0</v>
      </c>
      <c r="AE253" s="784">
        <f t="shared" si="137"/>
        <v>0</v>
      </c>
      <c r="AF253" s="784">
        <f t="shared" si="138"/>
        <v>0</v>
      </c>
      <c r="AG253" s="784">
        <f t="shared" si="139"/>
        <v>0</v>
      </c>
      <c r="AH253" s="1015">
        <f t="shared" si="135"/>
        <v>0</v>
      </c>
      <c r="AI253" s="784">
        <f t="shared" si="136"/>
        <v>0</v>
      </c>
    </row>
    <row r="254" spans="1:35" x14ac:dyDescent="0.2">
      <c r="A254" s="202">
        <v>2028</v>
      </c>
      <c r="B254" s="216">
        <v>0</v>
      </c>
      <c r="C254" s="217">
        <v>0</v>
      </c>
      <c r="D254" s="217">
        <v>0</v>
      </c>
      <c r="E254" s="217">
        <v>0</v>
      </c>
      <c r="F254" s="217">
        <v>0</v>
      </c>
      <c r="G254" s="217">
        <v>0</v>
      </c>
      <c r="H254" s="217">
        <v>0</v>
      </c>
      <c r="I254" s="217">
        <v>0</v>
      </c>
      <c r="J254" s="217">
        <v>0</v>
      </c>
      <c r="K254" s="217">
        <v>0</v>
      </c>
      <c r="L254" s="252">
        <v>0</v>
      </c>
      <c r="M254" s="168">
        <f t="shared" si="130"/>
        <v>0</v>
      </c>
      <c r="N254" s="170">
        <f t="shared" si="131"/>
        <v>0</v>
      </c>
      <c r="O254" s="216">
        <v>0</v>
      </c>
      <c r="P254" s="217">
        <v>0</v>
      </c>
      <c r="Q254" s="217">
        <v>0</v>
      </c>
      <c r="R254" s="217">
        <v>0</v>
      </c>
      <c r="S254" s="217">
        <v>0</v>
      </c>
      <c r="T254" s="217">
        <v>0</v>
      </c>
      <c r="U254" s="217">
        <v>0</v>
      </c>
      <c r="V254" s="217">
        <v>0</v>
      </c>
      <c r="W254" s="217">
        <v>0</v>
      </c>
      <c r="X254" s="217">
        <v>0</v>
      </c>
      <c r="Y254" s="252">
        <v>0</v>
      </c>
      <c r="Z254" s="168">
        <f t="shared" si="132"/>
        <v>0</v>
      </c>
      <c r="AA254" s="170">
        <f t="shared" si="133"/>
        <v>0</v>
      </c>
      <c r="AB254" s="795">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796">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069">
        <f t="shared" si="134"/>
        <v>0</v>
      </c>
      <c r="AE254" s="784">
        <f t="shared" si="137"/>
        <v>0</v>
      </c>
      <c r="AF254" s="784">
        <f t="shared" si="138"/>
        <v>0</v>
      </c>
      <c r="AG254" s="784">
        <f t="shared" si="139"/>
        <v>0</v>
      </c>
      <c r="AH254" s="1015">
        <f t="shared" si="135"/>
        <v>0</v>
      </c>
      <c r="AI254" s="784">
        <f t="shared" si="136"/>
        <v>0</v>
      </c>
    </row>
    <row r="255" spans="1:35" x14ac:dyDescent="0.2">
      <c r="A255" s="202">
        <v>2029</v>
      </c>
      <c r="B255" s="216">
        <v>0</v>
      </c>
      <c r="C255" s="217">
        <v>0</v>
      </c>
      <c r="D255" s="217">
        <v>0</v>
      </c>
      <c r="E255" s="217">
        <v>0</v>
      </c>
      <c r="F255" s="217">
        <v>0</v>
      </c>
      <c r="G255" s="217">
        <v>0</v>
      </c>
      <c r="H255" s="217">
        <v>0</v>
      </c>
      <c r="I255" s="217">
        <v>0</v>
      </c>
      <c r="J255" s="217">
        <v>0</v>
      </c>
      <c r="K255" s="217">
        <v>0</v>
      </c>
      <c r="L255" s="252">
        <v>0</v>
      </c>
      <c r="M255" s="168">
        <f t="shared" si="130"/>
        <v>0</v>
      </c>
      <c r="N255" s="170">
        <f t="shared" si="131"/>
        <v>0</v>
      </c>
      <c r="O255" s="216">
        <v>0</v>
      </c>
      <c r="P255" s="217">
        <v>0</v>
      </c>
      <c r="Q255" s="217">
        <v>0</v>
      </c>
      <c r="R255" s="217">
        <v>0</v>
      </c>
      <c r="S255" s="217">
        <v>0</v>
      </c>
      <c r="T255" s="217">
        <v>0</v>
      </c>
      <c r="U255" s="217">
        <v>0</v>
      </c>
      <c r="V255" s="217">
        <v>0</v>
      </c>
      <c r="W255" s="217">
        <v>0</v>
      </c>
      <c r="X255" s="217">
        <v>0</v>
      </c>
      <c r="Y255" s="252">
        <v>0</v>
      </c>
      <c r="Z255" s="168">
        <f t="shared" si="132"/>
        <v>0</v>
      </c>
      <c r="AA255" s="170">
        <f t="shared" si="133"/>
        <v>0</v>
      </c>
      <c r="AB255" s="795">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796">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069">
        <f t="shared" si="134"/>
        <v>0</v>
      </c>
      <c r="AE255" s="784">
        <f t="shared" si="137"/>
        <v>0</v>
      </c>
      <c r="AF255" s="784">
        <f t="shared" si="138"/>
        <v>0</v>
      </c>
      <c r="AG255" s="784">
        <f t="shared" si="139"/>
        <v>0</v>
      </c>
      <c r="AH255" s="1015">
        <f t="shared" si="135"/>
        <v>0</v>
      </c>
      <c r="AI255" s="784">
        <f t="shared" si="136"/>
        <v>0</v>
      </c>
    </row>
    <row r="256" spans="1:35" ht="13.5" thickBot="1" x14ac:dyDescent="0.25">
      <c r="A256" s="200">
        <v>2030</v>
      </c>
      <c r="B256" s="218">
        <v>0</v>
      </c>
      <c r="C256" s="219">
        <v>0</v>
      </c>
      <c r="D256" s="219">
        <v>0</v>
      </c>
      <c r="E256" s="219">
        <v>0</v>
      </c>
      <c r="F256" s="219">
        <v>0</v>
      </c>
      <c r="G256" s="219">
        <v>0</v>
      </c>
      <c r="H256" s="219">
        <v>0</v>
      </c>
      <c r="I256" s="219">
        <v>0</v>
      </c>
      <c r="J256" s="219">
        <v>0</v>
      </c>
      <c r="K256" s="219">
        <v>0</v>
      </c>
      <c r="L256" s="253">
        <v>0</v>
      </c>
      <c r="M256" s="182">
        <f t="shared" si="130"/>
        <v>0</v>
      </c>
      <c r="N256" s="184">
        <f t="shared" si="131"/>
        <v>0</v>
      </c>
      <c r="O256" s="218">
        <v>0</v>
      </c>
      <c r="P256" s="219">
        <v>0</v>
      </c>
      <c r="Q256" s="219">
        <v>0</v>
      </c>
      <c r="R256" s="219">
        <v>0</v>
      </c>
      <c r="S256" s="219">
        <v>0</v>
      </c>
      <c r="T256" s="219">
        <v>0</v>
      </c>
      <c r="U256" s="219">
        <v>0</v>
      </c>
      <c r="V256" s="219">
        <v>0</v>
      </c>
      <c r="W256" s="219">
        <v>0</v>
      </c>
      <c r="X256" s="219">
        <v>0</v>
      </c>
      <c r="Y256" s="253">
        <v>0</v>
      </c>
      <c r="Z256" s="182">
        <f t="shared" si="132"/>
        <v>0</v>
      </c>
      <c r="AA256" s="184">
        <f t="shared" si="133"/>
        <v>0</v>
      </c>
      <c r="AB256" s="795">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796">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069">
        <f t="shared" si="134"/>
        <v>0</v>
      </c>
      <c r="AE256" s="784">
        <f t="shared" si="137"/>
        <v>0</v>
      </c>
      <c r="AF256" s="784">
        <f t="shared" si="138"/>
        <v>0</v>
      </c>
      <c r="AG256" s="784">
        <f t="shared" si="139"/>
        <v>0</v>
      </c>
      <c r="AH256" s="1015">
        <f t="shared" si="135"/>
        <v>0</v>
      </c>
      <c r="AI256" s="784">
        <f t="shared" si="136"/>
        <v>0</v>
      </c>
    </row>
    <row r="257" spans="1:35" x14ac:dyDescent="0.2">
      <c r="A257" s="201">
        <v>2031</v>
      </c>
      <c r="B257" s="214">
        <v>0</v>
      </c>
      <c r="C257" s="215">
        <v>0</v>
      </c>
      <c r="D257" s="215">
        <v>0</v>
      </c>
      <c r="E257" s="215">
        <v>0</v>
      </c>
      <c r="F257" s="215">
        <v>0</v>
      </c>
      <c r="G257" s="215">
        <v>0</v>
      </c>
      <c r="H257" s="215">
        <v>0</v>
      </c>
      <c r="I257" s="215">
        <v>0</v>
      </c>
      <c r="J257" s="215">
        <v>0</v>
      </c>
      <c r="K257" s="215">
        <v>0</v>
      </c>
      <c r="L257" s="251">
        <v>0</v>
      </c>
      <c r="M257" s="154">
        <f t="shared" si="130"/>
        <v>0</v>
      </c>
      <c r="N257" s="156">
        <f t="shared" si="131"/>
        <v>0</v>
      </c>
      <c r="O257" s="214">
        <v>0</v>
      </c>
      <c r="P257" s="215">
        <v>0</v>
      </c>
      <c r="Q257" s="215">
        <v>0</v>
      </c>
      <c r="R257" s="215">
        <v>0</v>
      </c>
      <c r="S257" s="215">
        <v>0</v>
      </c>
      <c r="T257" s="215">
        <v>0</v>
      </c>
      <c r="U257" s="215">
        <v>0</v>
      </c>
      <c r="V257" s="215">
        <v>0</v>
      </c>
      <c r="W257" s="215">
        <v>0</v>
      </c>
      <c r="X257" s="215">
        <v>0</v>
      </c>
      <c r="Y257" s="251">
        <v>0</v>
      </c>
      <c r="Z257" s="154">
        <f t="shared" si="132"/>
        <v>0</v>
      </c>
      <c r="AA257" s="156">
        <f t="shared" si="133"/>
        <v>0</v>
      </c>
      <c r="AB257" s="795">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796">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069">
        <f t="shared" si="134"/>
        <v>0</v>
      </c>
      <c r="AE257" s="784">
        <f t="shared" si="137"/>
        <v>0</v>
      </c>
      <c r="AF257" s="784">
        <f t="shared" si="138"/>
        <v>0</v>
      </c>
      <c r="AG257" s="784">
        <f t="shared" si="139"/>
        <v>0</v>
      </c>
      <c r="AH257" s="1015">
        <f t="shared" si="135"/>
        <v>0</v>
      </c>
      <c r="AI257" s="784">
        <f t="shared" si="136"/>
        <v>0</v>
      </c>
    </row>
    <row r="258" spans="1:35" x14ac:dyDescent="0.2">
      <c r="A258" s="202">
        <v>2032</v>
      </c>
      <c r="B258" s="216">
        <v>0</v>
      </c>
      <c r="C258" s="217">
        <v>0</v>
      </c>
      <c r="D258" s="217">
        <v>0</v>
      </c>
      <c r="E258" s="217">
        <v>0</v>
      </c>
      <c r="F258" s="217">
        <v>0</v>
      </c>
      <c r="G258" s="217">
        <v>0</v>
      </c>
      <c r="H258" s="217">
        <v>0</v>
      </c>
      <c r="I258" s="217">
        <v>0</v>
      </c>
      <c r="J258" s="217">
        <v>0</v>
      </c>
      <c r="K258" s="217">
        <v>0</v>
      </c>
      <c r="L258" s="252">
        <v>0</v>
      </c>
      <c r="M258" s="168">
        <f t="shared" si="130"/>
        <v>0</v>
      </c>
      <c r="N258" s="170">
        <f t="shared" si="131"/>
        <v>0</v>
      </c>
      <c r="O258" s="216">
        <v>0</v>
      </c>
      <c r="P258" s="217">
        <v>0</v>
      </c>
      <c r="Q258" s="217">
        <v>0</v>
      </c>
      <c r="R258" s="217">
        <v>0</v>
      </c>
      <c r="S258" s="217">
        <v>0</v>
      </c>
      <c r="T258" s="217">
        <v>0</v>
      </c>
      <c r="U258" s="217">
        <v>0</v>
      </c>
      <c r="V258" s="217">
        <v>0</v>
      </c>
      <c r="W258" s="217">
        <v>0</v>
      </c>
      <c r="X258" s="217">
        <v>0</v>
      </c>
      <c r="Y258" s="252">
        <v>0</v>
      </c>
      <c r="Z258" s="168">
        <f t="shared" si="132"/>
        <v>0</v>
      </c>
      <c r="AA258" s="170">
        <f t="shared" si="133"/>
        <v>0</v>
      </c>
      <c r="AB258" s="795">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796">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069">
        <f t="shared" si="134"/>
        <v>0</v>
      </c>
      <c r="AE258" s="784">
        <f t="shared" si="137"/>
        <v>0</v>
      </c>
      <c r="AF258" s="784">
        <f t="shared" si="138"/>
        <v>0</v>
      </c>
      <c r="AG258" s="784">
        <f t="shared" si="139"/>
        <v>0</v>
      </c>
      <c r="AH258" s="1015">
        <f t="shared" si="135"/>
        <v>0</v>
      </c>
      <c r="AI258" s="784">
        <f t="shared" si="136"/>
        <v>0</v>
      </c>
    </row>
    <row r="259" spans="1:35" x14ac:dyDescent="0.2">
      <c r="A259" s="202">
        <v>2033</v>
      </c>
      <c r="B259" s="216">
        <v>0</v>
      </c>
      <c r="C259" s="217">
        <v>0</v>
      </c>
      <c r="D259" s="217">
        <v>0</v>
      </c>
      <c r="E259" s="217">
        <v>0</v>
      </c>
      <c r="F259" s="217">
        <v>0</v>
      </c>
      <c r="G259" s="217">
        <v>0</v>
      </c>
      <c r="H259" s="217">
        <v>0</v>
      </c>
      <c r="I259" s="217">
        <v>0</v>
      </c>
      <c r="J259" s="217">
        <v>0</v>
      </c>
      <c r="K259" s="217">
        <v>0</v>
      </c>
      <c r="L259" s="252">
        <v>0</v>
      </c>
      <c r="M259" s="168">
        <f t="shared" si="130"/>
        <v>0</v>
      </c>
      <c r="N259" s="170">
        <f t="shared" si="131"/>
        <v>0</v>
      </c>
      <c r="O259" s="216">
        <v>0</v>
      </c>
      <c r="P259" s="217">
        <v>0</v>
      </c>
      <c r="Q259" s="217">
        <v>0</v>
      </c>
      <c r="R259" s="217">
        <v>0</v>
      </c>
      <c r="S259" s="217">
        <v>0</v>
      </c>
      <c r="T259" s="217">
        <v>0</v>
      </c>
      <c r="U259" s="217">
        <v>0</v>
      </c>
      <c r="V259" s="217">
        <v>0</v>
      </c>
      <c r="W259" s="217">
        <v>0</v>
      </c>
      <c r="X259" s="217">
        <v>0</v>
      </c>
      <c r="Y259" s="252">
        <v>0</v>
      </c>
      <c r="Z259" s="168">
        <f t="shared" si="132"/>
        <v>0</v>
      </c>
      <c r="AA259" s="170">
        <f t="shared" si="133"/>
        <v>0</v>
      </c>
      <c r="AB259" s="795">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796">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069">
        <f>AB259*AH259+AC259*AI259</f>
        <v>0</v>
      </c>
      <c r="AE259" s="784">
        <f t="shared" si="137"/>
        <v>0</v>
      </c>
      <c r="AF259" s="784">
        <f t="shared" si="138"/>
        <v>0</v>
      </c>
      <c r="AG259" s="784">
        <f t="shared" si="139"/>
        <v>0</v>
      </c>
      <c r="AH259" s="1015">
        <f t="shared" si="135"/>
        <v>0</v>
      </c>
      <c r="AI259" s="784">
        <f t="shared" si="136"/>
        <v>0</v>
      </c>
    </row>
    <row r="260" spans="1:35" x14ac:dyDescent="0.2">
      <c r="A260" s="202">
        <v>2034</v>
      </c>
      <c r="B260" s="216">
        <v>0</v>
      </c>
      <c r="C260" s="217">
        <v>0</v>
      </c>
      <c r="D260" s="217">
        <v>0</v>
      </c>
      <c r="E260" s="217">
        <v>0</v>
      </c>
      <c r="F260" s="217">
        <v>0</v>
      </c>
      <c r="G260" s="217">
        <v>0</v>
      </c>
      <c r="H260" s="217">
        <v>0</v>
      </c>
      <c r="I260" s="217">
        <v>0</v>
      </c>
      <c r="J260" s="217">
        <v>0</v>
      </c>
      <c r="K260" s="217">
        <v>0</v>
      </c>
      <c r="L260" s="252">
        <v>0</v>
      </c>
      <c r="M260" s="168">
        <f t="shared" si="130"/>
        <v>0</v>
      </c>
      <c r="N260" s="170">
        <f t="shared" si="131"/>
        <v>0</v>
      </c>
      <c r="O260" s="216">
        <v>0</v>
      </c>
      <c r="P260" s="217">
        <v>0</v>
      </c>
      <c r="Q260" s="217">
        <v>0</v>
      </c>
      <c r="R260" s="217">
        <v>0</v>
      </c>
      <c r="S260" s="217">
        <v>0</v>
      </c>
      <c r="T260" s="217">
        <v>0</v>
      </c>
      <c r="U260" s="217">
        <v>0</v>
      </c>
      <c r="V260" s="217">
        <v>0</v>
      </c>
      <c r="W260" s="217">
        <v>0</v>
      </c>
      <c r="X260" s="217">
        <v>0</v>
      </c>
      <c r="Y260" s="252">
        <v>0</v>
      </c>
      <c r="Z260" s="168">
        <f t="shared" si="132"/>
        <v>0</v>
      </c>
      <c r="AA260" s="170">
        <f t="shared" si="133"/>
        <v>0</v>
      </c>
      <c r="AB260" s="795">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796">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069">
        <f t="shared" ref="AD260:AD276" si="140">AB260*AH260+AC260*AI260</f>
        <v>0</v>
      </c>
      <c r="AE260" s="784">
        <f t="shared" si="137"/>
        <v>0</v>
      </c>
      <c r="AF260" s="784">
        <f t="shared" si="138"/>
        <v>0</v>
      </c>
      <c r="AG260" s="784">
        <f t="shared" si="139"/>
        <v>0</v>
      </c>
      <c r="AH260" s="1015">
        <f t="shared" si="135"/>
        <v>0</v>
      </c>
      <c r="AI260" s="784">
        <f t="shared" si="136"/>
        <v>0</v>
      </c>
    </row>
    <row r="261" spans="1:35" ht="13.5" thickBot="1" x14ac:dyDescent="0.25">
      <c r="A261" s="200">
        <v>2035</v>
      </c>
      <c r="B261" s="218">
        <v>0</v>
      </c>
      <c r="C261" s="219">
        <v>0</v>
      </c>
      <c r="D261" s="219">
        <v>0</v>
      </c>
      <c r="E261" s="219">
        <v>0</v>
      </c>
      <c r="F261" s="219">
        <v>0</v>
      </c>
      <c r="G261" s="219">
        <v>0</v>
      </c>
      <c r="H261" s="219">
        <v>0</v>
      </c>
      <c r="I261" s="219">
        <v>0</v>
      </c>
      <c r="J261" s="219">
        <v>0</v>
      </c>
      <c r="K261" s="219">
        <v>0</v>
      </c>
      <c r="L261" s="253">
        <v>0</v>
      </c>
      <c r="M261" s="182">
        <f t="shared" si="130"/>
        <v>0</v>
      </c>
      <c r="N261" s="184">
        <f t="shared" si="131"/>
        <v>0</v>
      </c>
      <c r="O261" s="218">
        <v>0</v>
      </c>
      <c r="P261" s="219">
        <v>0</v>
      </c>
      <c r="Q261" s="219">
        <v>0</v>
      </c>
      <c r="R261" s="219">
        <v>0</v>
      </c>
      <c r="S261" s="219">
        <v>0</v>
      </c>
      <c r="T261" s="219">
        <v>0</v>
      </c>
      <c r="U261" s="219">
        <v>0</v>
      </c>
      <c r="V261" s="219">
        <v>0</v>
      </c>
      <c r="W261" s="219">
        <v>0</v>
      </c>
      <c r="X261" s="219">
        <v>0</v>
      </c>
      <c r="Y261" s="253">
        <v>0</v>
      </c>
      <c r="Z261" s="182">
        <f t="shared" si="132"/>
        <v>0</v>
      </c>
      <c r="AA261" s="184">
        <f t="shared" si="133"/>
        <v>0</v>
      </c>
      <c r="AB261" s="795">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796">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069">
        <f t="shared" si="140"/>
        <v>0</v>
      </c>
      <c r="AE261" s="784">
        <f t="shared" si="137"/>
        <v>0</v>
      </c>
      <c r="AF261" s="784">
        <f t="shared" si="138"/>
        <v>0</v>
      </c>
      <c r="AG261" s="784">
        <f t="shared" si="139"/>
        <v>0</v>
      </c>
      <c r="AH261" s="1015">
        <f t="shared" si="135"/>
        <v>0</v>
      </c>
      <c r="AI261" s="784">
        <f t="shared" si="136"/>
        <v>0</v>
      </c>
    </row>
    <row r="262" spans="1:35" x14ac:dyDescent="0.2">
      <c r="A262" s="201">
        <v>2036</v>
      </c>
      <c r="B262" s="214">
        <v>0</v>
      </c>
      <c r="C262" s="215">
        <v>0</v>
      </c>
      <c r="D262" s="215">
        <v>0</v>
      </c>
      <c r="E262" s="215">
        <v>0</v>
      </c>
      <c r="F262" s="215">
        <v>0</v>
      </c>
      <c r="G262" s="215">
        <v>0</v>
      </c>
      <c r="H262" s="215">
        <v>0</v>
      </c>
      <c r="I262" s="215">
        <v>0</v>
      </c>
      <c r="J262" s="215">
        <v>0</v>
      </c>
      <c r="K262" s="215">
        <v>0</v>
      </c>
      <c r="L262" s="251">
        <v>0</v>
      </c>
      <c r="M262" s="154">
        <f t="shared" si="130"/>
        <v>0</v>
      </c>
      <c r="N262" s="156">
        <f t="shared" si="131"/>
        <v>0</v>
      </c>
      <c r="O262" s="214">
        <v>0</v>
      </c>
      <c r="P262" s="215">
        <v>0</v>
      </c>
      <c r="Q262" s="215">
        <v>0</v>
      </c>
      <c r="R262" s="215">
        <v>0</v>
      </c>
      <c r="S262" s="215">
        <v>0</v>
      </c>
      <c r="T262" s="215">
        <v>0</v>
      </c>
      <c r="U262" s="215">
        <v>0</v>
      </c>
      <c r="V262" s="215">
        <v>0</v>
      </c>
      <c r="W262" s="215">
        <v>0</v>
      </c>
      <c r="X262" s="215">
        <v>0</v>
      </c>
      <c r="Y262" s="251">
        <v>0</v>
      </c>
      <c r="Z262" s="154">
        <f t="shared" si="132"/>
        <v>0</v>
      </c>
      <c r="AA262" s="156">
        <f t="shared" si="133"/>
        <v>0</v>
      </c>
      <c r="AB262" s="795">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796">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069">
        <f t="shared" si="140"/>
        <v>0</v>
      </c>
      <c r="AE262" s="784">
        <f t="shared" si="137"/>
        <v>0</v>
      </c>
      <c r="AF262" s="784">
        <f t="shared" si="138"/>
        <v>0</v>
      </c>
      <c r="AG262" s="784">
        <f t="shared" si="139"/>
        <v>0</v>
      </c>
      <c r="AH262" s="1015">
        <f t="shared" si="135"/>
        <v>0</v>
      </c>
      <c r="AI262" s="784">
        <f t="shared" si="136"/>
        <v>0</v>
      </c>
    </row>
    <row r="263" spans="1:35" x14ac:dyDescent="0.2">
      <c r="A263" s="202">
        <v>2037</v>
      </c>
      <c r="B263" s="216">
        <v>0</v>
      </c>
      <c r="C263" s="217">
        <v>0</v>
      </c>
      <c r="D263" s="217">
        <v>0</v>
      </c>
      <c r="E263" s="217">
        <v>0</v>
      </c>
      <c r="F263" s="217">
        <v>0</v>
      </c>
      <c r="G263" s="217">
        <v>0</v>
      </c>
      <c r="H263" s="217">
        <v>0</v>
      </c>
      <c r="I263" s="217">
        <v>0</v>
      </c>
      <c r="J263" s="217">
        <v>0</v>
      </c>
      <c r="K263" s="217">
        <v>0</v>
      </c>
      <c r="L263" s="252">
        <v>0</v>
      </c>
      <c r="M263" s="168">
        <f t="shared" si="130"/>
        <v>0</v>
      </c>
      <c r="N263" s="170">
        <f t="shared" si="131"/>
        <v>0</v>
      </c>
      <c r="O263" s="216">
        <v>0</v>
      </c>
      <c r="P263" s="217">
        <v>0</v>
      </c>
      <c r="Q263" s="217">
        <v>0</v>
      </c>
      <c r="R263" s="217">
        <v>0</v>
      </c>
      <c r="S263" s="217">
        <v>0</v>
      </c>
      <c r="T263" s="217">
        <v>0</v>
      </c>
      <c r="U263" s="217">
        <v>0</v>
      </c>
      <c r="V263" s="217">
        <v>0</v>
      </c>
      <c r="W263" s="217">
        <v>0</v>
      </c>
      <c r="X263" s="217">
        <v>0</v>
      </c>
      <c r="Y263" s="252">
        <v>0</v>
      </c>
      <c r="Z263" s="168">
        <f t="shared" si="132"/>
        <v>0</v>
      </c>
      <c r="AA263" s="170">
        <f t="shared" si="133"/>
        <v>0</v>
      </c>
      <c r="AB263" s="795">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796">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069">
        <f t="shared" si="140"/>
        <v>0</v>
      </c>
      <c r="AE263" s="784">
        <f t="shared" si="137"/>
        <v>0</v>
      </c>
      <c r="AF263" s="784">
        <f t="shared" si="138"/>
        <v>0</v>
      </c>
      <c r="AG263" s="784">
        <f t="shared" si="139"/>
        <v>0</v>
      </c>
      <c r="AH263" s="1015">
        <f t="shared" si="135"/>
        <v>0</v>
      </c>
      <c r="AI263" s="784">
        <f t="shared" si="136"/>
        <v>0</v>
      </c>
    </row>
    <row r="264" spans="1:35" x14ac:dyDescent="0.2">
      <c r="A264" s="202">
        <v>2038</v>
      </c>
      <c r="B264" s="216">
        <v>0</v>
      </c>
      <c r="C264" s="217">
        <v>0</v>
      </c>
      <c r="D264" s="217">
        <v>0</v>
      </c>
      <c r="E264" s="217">
        <v>0</v>
      </c>
      <c r="F264" s="217">
        <v>0</v>
      </c>
      <c r="G264" s="217">
        <v>0</v>
      </c>
      <c r="H264" s="217">
        <v>0</v>
      </c>
      <c r="I264" s="217">
        <v>0</v>
      </c>
      <c r="J264" s="217">
        <v>0</v>
      </c>
      <c r="K264" s="217">
        <v>0</v>
      </c>
      <c r="L264" s="252">
        <v>0</v>
      </c>
      <c r="M264" s="168">
        <f t="shared" si="130"/>
        <v>0</v>
      </c>
      <c r="N264" s="170">
        <f t="shared" si="131"/>
        <v>0</v>
      </c>
      <c r="O264" s="216">
        <v>0</v>
      </c>
      <c r="P264" s="217">
        <v>0</v>
      </c>
      <c r="Q264" s="217">
        <v>0</v>
      </c>
      <c r="R264" s="217">
        <v>0</v>
      </c>
      <c r="S264" s="217">
        <v>0</v>
      </c>
      <c r="T264" s="217">
        <v>0</v>
      </c>
      <c r="U264" s="217">
        <v>0</v>
      </c>
      <c r="V264" s="217">
        <v>0</v>
      </c>
      <c r="W264" s="217">
        <v>0</v>
      </c>
      <c r="X264" s="217">
        <v>0</v>
      </c>
      <c r="Y264" s="252">
        <v>0</v>
      </c>
      <c r="Z264" s="168">
        <f t="shared" si="132"/>
        <v>0</v>
      </c>
      <c r="AA264" s="170">
        <f t="shared" si="133"/>
        <v>0</v>
      </c>
      <c r="AB264" s="795">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796">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069">
        <f t="shared" si="140"/>
        <v>0</v>
      </c>
      <c r="AE264" s="784">
        <f t="shared" si="137"/>
        <v>0</v>
      </c>
      <c r="AF264" s="784">
        <f t="shared" si="138"/>
        <v>0</v>
      </c>
      <c r="AG264" s="784">
        <f t="shared" si="139"/>
        <v>0</v>
      </c>
      <c r="AH264" s="1015">
        <f t="shared" si="135"/>
        <v>0</v>
      </c>
      <c r="AI264" s="784">
        <f t="shared" si="136"/>
        <v>0</v>
      </c>
    </row>
    <row r="265" spans="1:35" x14ac:dyDescent="0.2">
      <c r="A265" s="202">
        <v>2039</v>
      </c>
      <c r="B265" s="216">
        <v>0</v>
      </c>
      <c r="C265" s="217">
        <v>0</v>
      </c>
      <c r="D265" s="217">
        <v>0</v>
      </c>
      <c r="E265" s="217">
        <v>0</v>
      </c>
      <c r="F265" s="217">
        <v>0</v>
      </c>
      <c r="G265" s="217">
        <v>0</v>
      </c>
      <c r="H265" s="217">
        <v>0</v>
      </c>
      <c r="I265" s="217">
        <v>0</v>
      </c>
      <c r="J265" s="217">
        <v>0</v>
      </c>
      <c r="K265" s="217">
        <v>0</v>
      </c>
      <c r="L265" s="252">
        <v>0</v>
      </c>
      <c r="M265" s="168">
        <f t="shared" si="130"/>
        <v>0</v>
      </c>
      <c r="N265" s="170">
        <f t="shared" si="131"/>
        <v>0</v>
      </c>
      <c r="O265" s="216">
        <v>0</v>
      </c>
      <c r="P265" s="217">
        <v>0</v>
      </c>
      <c r="Q265" s="217">
        <v>0</v>
      </c>
      <c r="R265" s="217">
        <v>0</v>
      </c>
      <c r="S265" s="217">
        <v>0</v>
      </c>
      <c r="T265" s="217">
        <v>0</v>
      </c>
      <c r="U265" s="217">
        <v>0</v>
      </c>
      <c r="V265" s="217">
        <v>0</v>
      </c>
      <c r="W265" s="217">
        <v>5.5926974757532136E-5</v>
      </c>
      <c r="X265" s="217">
        <v>2.9336152840604062E-4</v>
      </c>
      <c r="Y265" s="252">
        <v>2.3693211036194804E-3</v>
      </c>
      <c r="Z265" s="168">
        <f t="shared" si="132"/>
        <v>3.8233987055496797E-5</v>
      </c>
      <c r="AA265" s="170">
        <f t="shared" si="133"/>
        <v>1.3494705178263612E-5</v>
      </c>
      <c r="AB265" s="795">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796">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069">
        <f t="shared" si="140"/>
        <v>0</v>
      </c>
      <c r="AE265" s="784">
        <f t="shared" si="137"/>
        <v>0</v>
      </c>
      <c r="AF265" s="784">
        <f t="shared" si="138"/>
        <v>3.8233987055496797E-5</v>
      </c>
      <c r="AG265" s="784">
        <f t="shared" si="139"/>
        <v>3.8233987055496797E-5</v>
      </c>
      <c r="AH265" s="1015">
        <f t="shared" si="135"/>
        <v>0</v>
      </c>
      <c r="AI265" s="784">
        <f t="shared" si="136"/>
        <v>1</v>
      </c>
    </row>
    <row r="266" spans="1:35" ht="13.5" thickBot="1" x14ac:dyDescent="0.25">
      <c r="A266" s="200">
        <v>2040</v>
      </c>
      <c r="B266" s="218">
        <v>0</v>
      </c>
      <c r="C266" s="219">
        <v>0</v>
      </c>
      <c r="D266" s="219">
        <v>0</v>
      </c>
      <c r="E266" s="219">
        <v>0</v>
      </c>
      <c r="F266" s="219">
        <v>0</v>
      </c>
      <c r="G266" s="219">
        <v>0</v>
      </c>
      <c r="H266" s="219">
        <v>0</v>
      </c>
      <c r="I266" s="219">
        <v>0</v>
      </c>
      <c r="J266" s="219">
        <v>7.0874946382443318E-5</v>
      </c>
      <c r="K266" s="219">
        <v>4.3218978976317763E-4</v>
      </c>
      <c r="L266" s="253">
        <v>3.754749276252408E-3</v>
      </c>
      <c r="M266" s="182">
        <f t="shared" si="130"/>
        <v>1.3160863625249981E-4</v>
      </c>
      <c r="N266" s="184">
        <f t="shared" si="131"/>
        <v>4.5962781203834604E-5</v>
      </c>
      <c r="O266" s="218">
        <v>0</v>
      </c>
      <c r="P266" s="219">
        <v>0</v>
      </c>
      <c r="Q266" s="219">
        <v>0</v>
      </c>
      <c r="R266" s="219">
        <v>0</v>
      </c>
      <c r="S266" s="219">
        <v>0</v>
      </c>
      <c r="T266" s="219">
        <v>0</v>
      </c>
      <c r="U266" s="219">
        <v>8.7815956983765885E-5</v>
      </c>
      <c r="V266" s="219">
        <v>7.4693299791225474E-4</v>
      </c>
      <c r="W266" s="219">
        <v>6.0102387312423976E-3</v>
      </c>
      <c r="X266" s="219">
        <v>1.2776820414253053E-2</v>
      </c>
      <c r="Y266" s="253">
        <v>3.0374847283825925E-2</v>
      </c>
      <c r="Z266" s="182">
        <f t="shared" si="132"/>
        <v>6.2744871960317312E-4</v>
      </c>
      <c r="AA266" s="184">
        <f t="shared" si="133"/>
        <v>2.338660003486296E-4</v>
      </c>
      <c r="AB266" s="795">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796">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069">
        <f t="shared" si="140"/>
        <v>0</v>
      </c>
      <c r="AE266" s="784">
        <f t="shared" si="137"/>
        <v>1.3160863625249981E-4</v>
      </c>
      <c r="AF266" s="784">
        <f t="shared" si="138"/>
        <v>6.2744871960317312E-4</v>
      </c>
      <c r="AG266" s="784">
        <f t="shared" si="139"/>
        <v>7.5905735585567288E-4</v>
      </c>
      <c r="AH266" s="1015">
        <f t="shared" si="135"/>
        <v>0.17338431047037225</v>
      </c>
      <c r="AI266" s="784">
        <f t="shared" si="136"/>
        <v>0.82661568952962783</v>
      </c>
    </row>
    <row r="267" spans="1:35" x14ac:dyDescent="0.2">
      <c r="A267" s="201">
        <v>2041</v>
      </c>
      <c r="B267" s="214">
        <v>0</v>
      </c>
      <c r="C267" s="215">
        <v>0</v>
      </c>
      <c r="D267" s="215">
        <v>0</v>
      </c>
      <c r="E267" s="215">
        <v>0</v>
      </c>
      <c r="F267" s="215">
        <v>0</v>
      </c>
      <c r="G267" s="215">
        <v>0</v>
      </c>
      <c r="H267" s="215">
        <v>7.8857693282026985E-4</v>
      </c>
      <c r="I267" s="215">
        <v>4.8639102610858803E-3</v>
      </c>
      <c r="J267" s="215">
        <v>1.3513947054620525E-2</v>
      </c>
      <c r="K267" s="215">
        <v>2.3582417256625892E-2</v>
      </c>
      <c r="L267" s="251">
        <v>5.4412969002683845E-2</v>
      </c>
      <c r="M267" s="154">
        <f t="shared" si="130"/>
        <v>2.9732292876833337E-3</v>
      </c>
      <c r="N267" s="156">
        <f t="shared" si="131"/>
        <v>1.1680685472873133E-3</v>
      </c>
      <c r="O267" s="214">
        <v>0</v>
      </c>
      <c r="P267" s="215">
        <v>0</v>
      </c>
      <c r="Q267" s="215">
        <v>0</v>
      </c>
      <c r="R267" s="215">
        <v>0</v>
      </c>
      <c r="S267" s="215">
        <v>0</v>
      </c>
      <c r="T267" s="215">
        <v>2.4139726638067226E-3</v>
      </c>
      <c r="U267" s="215">
        <v>8.5207919940681574E-3</v>
      </c>
      <c r="V267" s="215">
        <v>1.9742682942348943E-2</v>
      </c>
      <c r="W267" s="215">
        <v>4.7648960452026622E-2</v>
      </c>
      <c r="X267" s="215">
        <v>6.6372360407336822E-2</v>
      </c>
      <c r="Y267" s="251">
        <v>9.2815145719000319E-2</v>
      </c>
      <c r="Z267" s="154">
        <f t="shared" si="132"/>
        <v>3.2887366303548382E-3</v>
      </c>
      <c r="AA267" s="156">
        <f t="shared" si="133"/>
        <v>1.4370680377976122E-3</v>
      </c>
      <c r="AB267" s="795">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796">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069">
        <f t="shared" si="140"/>
        <v>0</v>
      </c>
      <c r="AE267" s="784">
        <f t="shared" si="137"/>
        <v>2.9732292876833337E-3</v>
      </c>
      <c r="AF267" s="784">
        <f t="shared" si="138"/>
        <v>3.2887366303548382E-3</v>
      </c>
      <c r="AG267" s="784">
        <f t="shared" si="139"/>
        <v>6.2619659180381719E-3</v>
      </c>
      <c r="AH267" s="1015">
        <f t="shared" si="135"/>
        <v>0.47480764453199464</v>
      </c>
      <c r="AI267" s="784">
        <f t="shared" si="136"/>
        <v>0.52519235546800536</v>
      </c>
    </row>
    <row r="268" spans="1:35" x14ac:dyDescent="0.2">
      <c r="A268" s="202">
        <v>2042</v>
      </c>
      <c r="B268" s="216">
        <v>0</v>
      </c>
      <c r="C268" s="217">
        <v>0</v>
      </c>
      <c r="D268" s="217">
        <v>0</v>
      </c>
      <c r="E268" s="217">
        <v>0</v>
      </c>
      <c r="F268" s="217">
        <v>8.5462610614014348E-4</v>
      </c>
      <c r="G268" s="217">
        <v>7.9949188811807466E-3</v>
      </c>
      <c r="H268" s="217">
        <v>2.6069964369035307E-2</v>
      </c>
      <c r="I268" s="217">
        <v>5.0986053079259935E-2</v>
      </c>
      <c r="J268" s="217">
        <v>7.5215300957220343E-2</v>
      </c>
      <c r="K268" s="217">
        <v>9.828270051981261E-2</v>
      </c>
      <c r="L268" s="252">
        <v>0.12778484040842977</v>
      </c>
      <c r="M268" s="168">
        <f t="shared" si="130"/>
        <v>1.4432093511214428E-2</v>
      </c>
      <c r="N268" s="170">
        <f t="shared" si="131"/>
        <v>6.7409458112168141E-3</v>
      </c>
      <c r="O268" s="216">
        <v>0</v>
      </c>
      <c r="P268" s="217">
        <v>0</v>
      </c>
      <c r="Q268" s="217">
        <v>0</v>
      </c>
      <c r="R268" s="217">
        <v>3.6497362601408323E-4</v>
      </c>
      <c r="S268" s="217">
        <v>7.0743115808704253E-3</v>
      </c>
      <c r="T268" s="217">
        <v>3.2839315704224048E-2</v>
      </c>
      <c r="U268" s="217">
        <v>5.6791521059362429E-2</v>
      </c>
      <c r="V268" s="217">
        <v>8.2415354560982909E-2</v>
      </c>
      <c r="W268" s="217">
        <v>0.1187999150437144</v>
      </c>
      <c r="X268" s="217">
        <v>0.13054430701931241</v>
      </c>
      <c r="Y268" s="252">
        <v>0.15386244371872904</v>
      </c>
      <c r="Z268" s="168">
        <f t="shared" si="132"/>
        <v>1.1215956586463467E-2</v>
      </c>
      <c r="AA268" s="170">
        <f t="shared" si="133"/>
        <v>5.9833945339211074E-3</v>
      </c>
      <c r="AB268" s="795">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796">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069">
        <f t="shared" si="140"/>
        <v>0</v>
      </c>
      <c r="AE268" s="784">
        <f t="shared" si="137"/>
        <v>1.4432093511214428E-2</v>
      </c>
      <c r="AF268" s="784">
        <f t="shared" si="138"/>
        <v>1.1215956586463467E-2</v>
      </c>
      <c r="AG268" s="784">
        <f t="shared" si="139"/>
        <v>2.5648050097677896E-2</v>
      </c>
      <c r="AH268" s="1015">
        <f t="shared" si="135"/>
        <v>0.56269749381537082</v>
      </c>
      <c r="AI268" s="784">
        <f t="shared" si="136"/>
        <v>0.43730250618462918</v>
      </c>
    </row>
    <row r="269" spans="1:35" x14ac:dyDescent="0.2">
      <c r="A269" s="202">
        <v>2043</v>
      </c>
      <c r="B269" s="216">
        <v>0</v>
      </c>
      <c r="C269" s="217">
        <v>0</v>
      </c>
      <c r="D269" s="217">
        <v>0</v>
      </c>
      <c r="E269" s="217">
        <v>1.7515042687937289E-3</v>
      </c>
      <c r="F269" s="217">
        <v>1.7711828072259003E-2</v>
      </c>
      <c r="G269" s="217">
        <v>5.0210296934302415E-2</v>
      </c>
      <c r="H269" s="217">
        <v>8.5761013204125061E-2</v>
      </c>
      <c r="I269" s="217">
        <v>0.11607880906680987</v>
      </c>
      <c r="J269" s="217">
        <v>0.13483825336239746</v>
      </c>
      <c r="K269" s="217">
        <v>0.1529611689917825</v>
      </c>
      <c r="L269" s="252">
        <v>0.16960496040679215</v>
      </c>
      <c r="M269" s="168">
        <f t="shared" si="130"/>
        <v>3.3236797896432482E-2</v>
      </c>
      <c r="N269" s="170">
        <f t="shared" si="131"/>
        <v>1.7794286551332222E-2</v>
      </c>
      <c r="O269" s="216">
        <v>0</v>
      </c>
      <c r="P269" s="217">
        <v>0</v>
      </c>
      <c r="Q269" s="217">
        <v>1.3531054582051726E-4</v>
      </c>
      <c r="R269" s="217">
        <v>9.8511744615663848E-3</v>
      </c>
      <c r="S269" s="217">
        <v>3.8380192924781072E-2</v>
      </c>
      <c r="T269" s="217">
        <v>8.7578943620297889E-2</v>
      </c>
      <c r="U269" s="217">
        <v>0.11137079911874506</v>
      </c>
      <c r="V269" s="217">
        <v>0.13665655168398266</v>
      </c>
      <c r="W269" s="217">
        <v>0.16159992767008108</v>
      </c>
      <c r="X269" s="217">
        <v>0.17194883627966986</v>
      </c>
      <c r="Y269" s="252">
        <v>0.18646919173933998</v>
      </c>
      <c r="Z269" s="168">
        <f t="shared" si="132"/>
        <v>2.2439485677106675E-2</v>
      </c>
      <c r="AA269" s="170">
        <f t="shared" si="133"/>
        <v>1.3670672285834583E-2</v>
      </c>
      <c r="AB269" s="795">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796">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069">
        <f t="shared" si="140"/>
        <v>0</v>
      </c>
      <c r="AE269" s="784">
        <f t="shared" si="137"/>
        <v>3.3236797896432482E-2</v>
      </c>
      <c r="AF269" s="784">
        <f t="shared" si="138"/>
        <v>2.2439485677106675E-2</v>
      </c>
      <c r="AG269" s="784">
        <f t="shared" si="139"/>
        <v>5.5676283573539154E-2</v>
      </c>
      <c r="AH269" s="1015">
        <f t="shared" si="135"/>
        <v>0.59696509470737524</v>
      </c>
      <c r="AI269" s="784">
        <f t="shared" si="136"/>
        <v>0.40303490529262481</v>
      </c>
    </row>
    <row r="270" spans="1:35" x14ac:dyDescent="0.2">
      <c r="A270" s="202">
        <v>2044</v>
      </c>
      <c r="B270" s="216">
        <v>0</v>
      </c>
      <c r="C270" s="217">
        <v>0</v>
      </c>
      <c r="D270" s="217">
        <v>4.9461811224226523E-4</v>
      </c>
      <c r="E270" s="217">
        <v>1.8783953084430729E-2</v>
      </c>
      <c r="F270" s="217">
        <v>6.1363706251831948E-2</v>
      </c>
      <c r="G270" s="217">
        <v>0.10047566739694032</v>
      </c>
      <c r="H270" s="217">
        <v>0.13972559814695049</v>
      </c>
      <c r="I270" s="217">
        <v>0.15697148320989529</v>
      </c>
      <c r="J270" s="217">
        <v>0.17551188053979061</v>
      </c>
      <c r="K270" s="217">
        <v>0.1859487405417149</v>
      </c>
      <c r="L270" s="252">
        <v>0.20012761746177904</v>
      </c>
      <c r="M270" s="168">
        <f t="shared" si="130"/>
        <v>5.3905544610113508E-2</v>
      </c>
      <c r="N270" s="170">
        <f t="shared" si="131"/>
        <v>3.1962651735103452E-2</v>
      </c>
      <c r="O270" s="216">
        <v>0</v>
      </c>
      <c r="P270" s="217">
        <v>0</v>
      </c>
      <c r="Q270" s="217">
        <v>3.9539424776032263E-3</v>
      </c>
      <c r="R270" s="217">
        <v>4.332684545609327E-2</v>
      </c>
      <c r="S270" s="217">
        <v>8.838019259678237E-2</v>
      </c>
      <c r="T270" s="217">
        <v>0.13403807657629316</v>
      </c>
      <c r="U270" s="217">
        <v>0.15169825142293047</v>
      </c>
      <c r="V270" s="217">
        <v>0.1708899643696026</v>
      </c>
      <c r="W270" s="217">
        <v>0.19181462017121029</v>
      </c>
      <c r="X270" s="217">
        <v>0.19600272772646216</v>
      </c>
      <c r="Y270" s="252">
        <v>0.20364749014219408</v>
      </c>
      <c r="Z270" s="168">
        <f t="shared" si="132"/>
        <v>3.5103629627177897E-2</v>
      </c>
      <c r="AA270" s="170">
        <f t="shared" si="133"/>
        <v>2.3619765601105673E-2</v>
      </c>
      <c r="AB270" s="795">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796">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069">
        <f t="shared" si="140"/>
        <v>0</v>
      </c>
      <c r="AE270" s="784">
        <f t="shared" si="137"/>
        <v>5.3905544610113508E-2</v>
      </c>
      <c r="AF270" s="784">
        <f t="shared" si="138"/>
        <v>3.5103629627177897E-2</v>
      </c>
      <c r="AG270" s="784">
        <f t="shared" si="139"/>
        <v>8.9009174237291405E-2</v>
      </c>
      <c r="AH270" s="1015">
        <f t="shared" si="135"/>
        <v>0.60561784863216006</v>
      </c>
      <c r="AI270" s="784">
        <f t="shared" si="136"/>
        <v>0.39438215136783994</v>
      </c>
    </row>
    <row r="271" spans="1:35" ht="13.5" thickBot="1" x14ac:dyDescent="0.25">
      <c r="A271" s="200">
        <v>2045</v>
      </c>
      <c r="B271" s="218">
        <v>0</v>
      </c>
      <c r="C271" s="219">
        <v>0</v>
      </c>
      <c r="D271" s="219">
        <v>8.0434351527100892E-3</v>
      </c>
      <c r="E271" s="219">
        <v>5.3004220684105624E-2</v>
      </c>
      <c r="F271" s="219">
        <v>0.10798522542106659</v>
      </c>
      <c r="G271" s="219">
        <v>0.14743936984016018</v>
      </c>
      <c r="H271" s="219">
        <v>0.17241927588115816</v>
      </c>
      <c r="I271" s="219">
        <v>0.19160953341560572</v>
      </c>
      <c r="J271" s="219">
        <v>0.19955298766140003</v>
      </c>
      <c r="K271" s="219">
        <v>0.20282560444092376</v>
      </c>
      <c r="L271" s="253">
        <v>0.20998431929269087</v>
      </c>
      <c r="M271" s="182">
        <f t="shared" si="130"/>
        <v>7.2844203279234188E-2</v>
      </c>
      <c r="N271" s="184">
        <f t="shared" si="131"/>
        <v>4.6623610363255068E-2</v>
      </c>
      <c r="O271" s="218">
        <v>0</v>
      </c>
      <c r="P271" s="219">
        <v>0</v>
      </c>
      <c r="Q271" s="219">
        <v>2.0352406905149983E-2</v>
      </c>
      <c r="R271" s="219">
        <v>7.7106995323242652E-2</v>
      </c>
      <c r="S271" s="219">
        <v>0.13702688409660618</v>
      </c>
      <c r="T271" s="219">
        <v>0.16730669338110993</v>
      </c>
      <c r="U271" s="219">
        <v>0.18614811925374325</v>
      </c>
      <c r="V271" s="219">
        <v>0.19539112764766584</v>
      </c>
      <c r="W271" s="219">
        <v>0.20886445792503291</v>
      </c>
      <c r="X271" s="219">
        <v>0.21121966084444208</v>
      </c>
      <c r="Y271" s="253">
        <v>0.21378962709689403</v>
      </c>
      <c r="Z271" s="182">
        <f t="shared" si="132"/>
        <v>4.671690763894621E-2</v>
      </c>
      <c r="AA271" s="184">
        <f t="shared" si="133"/>
        <v>3.3401594443211328E-2</v>
      </c>
      <c r="AB271" s="795">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796">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069">
        <f t="shared" si="140"/>
        <v>0</v>
      </c>
      <c r="AE271" s="784">
        <f t="shared" si="137"/>
        <v>7.2844203279234188E-2</v>
      </c>
      <c r="AF271" s="784">
        <f t="shared" si="138"/>
        <v>4.671690763894621E-2</v>
      </c>
      <c r="AG271" s="784">
        <f t="shared" si="139"/>
        <v>0.11956111091818039</v>
      </c>
      <c r="AH271" s="1015">
        <f t="shared" si="135"/>
        <v>0.60926335260537912</v>
      </c>
      <c r="AI271" s="784">
        <f t="shared" si="136"/>
        <v>0.39073664739462088</v>
      </c>
    </row>
    <row r="272" spans="1:35" x14ac:dyDescent="0.2">
      <c r="A272" s="201">
        <v>2046</v>
      </c>
      <c r="B272" s="214">
        <v>0</v>
      </c>
      <c r="C272" s="215">
        <v>0</v>
      </c>
      <c r="D272" s="215">
        <v>1.9117931837524114E-2</v>
      </c>
      <c r="E272" s="215">
        <v>7.7692337574234688E-2</v>
      </c>
      <c r="F272" s="215">
        <v>0.13402347581885868</v>
      </c>
      <c r="G272" s="215">
        <v>0.16698986453712486</v>
      </c>
      <c r="H272" s="215">
        <v>0.19159425049120621</v>
      </c>
      <c r="I272" s="215">
        <v>0.20246260630749904</v>
      </c>
      <c r="J272" s="215">
        <v>0.21098647113700861</v>
      </c>
      <c r="K272" s="215">
        <v>0.21364339262113149</v>
      </c>
      <c r="L272" s="251">
        <v>0.21906201870807165</v>
      </c>
      <c r="M272" s="154">
        <f t="shared" si="130"/>
        <v>8.3461152623404949E-2</v>
      </c>
      <c r="N272" s="156">
        <f t="shared" si="131"/>
        <v>5.5424457595374343E-2</v>
      </c>
      <c r="O272" s="214">
        <v>0</v>
      </c>
      <c r="P272" s="215">
        <v>4.9325936320362442E-4</v>
      </c>
      <c r="Q272" s="215">
        <v>3.8125462519563336E-2</v>
      </c>
      <c r="R272" s="215">
        <v>9.7954473283660498E-2</v>
      </c>
      <c r="S272" s="215">
        <v>0.15435374378190997</v>
      </c>
      <c r="T272" s="215">
        <v>0.18544379998424748</v>
      </c>
      <c r="U272" s="215">
        <v>0.19729355265818918</v>
      </c>
      <c r="V272" s="215">
        <v>0.20628749233265997</v>
      </c>
      <c r="W272" s="215">
        <v>0.21364339262113149</v>
      </c>
      <c r="X272" s="215">
        <v>0.21670976422517804</v>
      </c>
      <c r="Y272" s="251">
        <v>0.2217853387792689</v>
      </c>
      <c r="Z272" s="154">
        <f t="shared" si="132"/>
        <v>5.2285557975167637E-2</v>
      </c>
      <c r="AA272" s="156">
        <f t="shared" si="133"/>
        <v>3.8493883123338429E-2</v>
      </c>
      <c r="AB272" s="795">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796">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069">
        <f t="shared" si="140"/>
        <v>0</v>
      </c>
      <c r="AE272" s="784">
        <f t="shared" si="137"/>
        <v>8.3461152623404949E-2</v>
      </c>
      <c r="AF272" s="784">
        <f t="shared" si="138"/>
        <v>5.2285557975167637E-2</v>
      </c>
      <c r="AG272" s="784">
        <f t="shared" si="139"/>
        <v>0.13574671059857257</v>
      </c>
      <c r="AH272" s="1015">
        <f t="shared" si="135"/>
        <v>0.61483001875614196</v>
      </c>
      <c r="AI272" s="784">
        <f t="shared" si="136"/>
        <v>0.38516998124385815</v>
      </c>
    </row>
    <row r="273" spans="1:39" x14ac:dyDescent="0.2">
      <c r="A273" s="202">
        <v>2047</v>
      </c>
      <c r="B273" s="216">
        <v>0</v>
      </c>
      <c r="C273" s="217">
        <v>3.388766442105104E-4</v>
      </c>
      <c r="D273" s="217">
        <v>3.5203138792641891E-2</v>
      </c>
      <c r="E273" s="217">
        <v>9.2812385750435988E-2</v>
      </c>
      <c r="F273" s="217">
        <v>0.15975531236869636</v>
      </c>
      <c r="G273" s="217">
        <v>0.18727078822777848</v>
      </c>
      <c r="H273" s="217">
        <v>0.201882882110416</v>
      </c>
      <c r="I273" s="217">
        <v>0.21166429116466595</v>
      </c>
      <c r="J273" s="217">
        <v>0.21555642575643003</v>
      </c>
      <c r="K273" s="217">
        <v>0.2182985418226735</v>
      </c>
      <c r="L273" s="252">
        <v>0.22289250809035852</v>
      </c>
      <c r="M273" s="168">
        <f t="shared" si="130"/>
        <v>9.2203669754519324E-2</v>
      </c>
      <c r="N273" s="170">
        <f t="shared" si="131"/>
        <v>6.310510046382431E-2</v>
      </c>
      <c r="O273" s="216">
        <v>0</v>
      </c>
      <c r="P273" s="217">
        <v>2.6724196366883944E-3</v>
      </c>
      <c r="Q273" s="217">
        <v>5.6933744018338062E-2</v>
      </c>
      <c r="R273" s="217">
        <v>0.10795526613676837</v>
      </c>
      <c r="S273" s="217">
        <v>0.17215482257588263</v>
      </c>
      <c r="T273" s="217">
        <v>0.19507803887731642</v>
      </c>
      <c r="U273" s="217">
        <v>0.20707645712943026</v>
      </c>
      <c r="V273" s="217">
        <v>0.21602365924062622</v>
      </c>
      <c r="W273" s="217">
        <v>0.22161937303416518</v>
      </c>
      <c r="X273" s="217">
        <v>0.2209707855779402</v>
      </c>
      <c r="Y273" s="252">
        <v>0.22499419189976877</v>
      </c>
      <c r="Z273" s="168">
        <f t="shared" si="132"/>
        <v>5.6729018149473801E-2</v>
      </c>
      <c r="AA273" s="170">
        <f t="shared" si="133"/>
        <v>4.2691019478096934E-2</v>
      </c>
      <c r="AB273" s="795">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796">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069">
        <f t="shared" si="140"/>
        <v>0</v>
      </c>
      <c r="AE273" s="784">
        <f t="shared" si="137"/>
        <v>9.2203669754519324E-2</v>
      </c>
      <c r="AF273" s="784">
        <f t="shared" si="138"/>
        <v>5.6729018149473801E-2</v>
      </c>
      <c r="AG273" s="784">
        <f t="shared" si="139"/>
        <v>0.14893268790399311</v>
      </c>
      <c r="AH273" s="1015">
        <f t="shared" si="135"/>
        <v>0.61909625786084532</v>
      </c>
      <c r="AI273" s="784">
        <f t="shared" si="136"/>
        <v>0.38090374213915473</v>
      </c>
    </row>
    <row r="274" spans="1:39" x14ac:dyDescent="0.2">
      <c r="A274" s="202">
        <v>2048</v>
      </c>
      <c r="B274" s="216">
        <v>0</v>
      </c>
      <c r="C274" s="217">
        <v>1.3941119049558806E-3</v>
      </c>
      <c r="D274" s="217">
        <v>4.5952923533676041E-2</v>
      </c>
      <c r="E274" s="217">
        <v>0.10506699376712607</v>
      </c>
      <c r="F274" s="217">
        <v>0.17111513678370016</v>
      </c>
      <c r="G274" s="217">
        <v>0.19142554006576959</v>
      </c>
      <c r="H274" s="217">
        <v>0.20587471311371197</v>
      </c>
      <c r="I274" s="217">
        <v>0.21597063093809019</v>
      </c>
      <c r="J274" s="217">
        <v>0.21950811986721921</v>
      </c>
      <c r="K274" s="217">
        <v>0.22184387823942228</v>
      </c>
      <c r="L274" s="252">
        <v>0.22556553541533064</v>
      </c>
      <c r="M274" s="168">
        <f t="shared" si="130"/>
        <v>9.6548775814608676E-2</v>
      </c>
      <c r="N274" s="170">
        <f t="shared" si="131"/>
        <v>6.7228541643562442E-2</v>
      </c>
      <c r="O274" s="216">
        <v>0</v>
      </c>
      <c r="P274" s="217">
        <v>6.070774814616881E-3</v>
      </c>
      <c r="Q274" s="217">
        <v>6.6751578901838332E-2</v>
      </c>
      <c r="R274" s="217">
        <v>0.12234553243462361</v>
      </c>
      <c r="S274" s="217">
        <v>0.18453552087804137</v>
      </c>
      <c r="T274" s="217">
        <v>0.20306045238959408</v>
      </c>
      <c r="U274" s="217">
        <v>0.21169882604312074</v>
      </c>
      <c r="V274" s="217">
        <v>0.21983401314901149</v>
      </c>
      <c r="W274" s="217">
        <v>0.22458638719552973</v>
      </c>
      <c r="X274" s="217">
        <v>0.22409934529402159</v>
      </c>
      <c r="Y274" s="252">
        <v>0.22556553541533064</v>
      </c>
      <c r="Z274" s="168">
        <f t="shared" si="132"/>
        <v>6.0061716298747091E-2</v>
      </c>
      <c r="AA274" s="170">
        <f t="shared" si="133"/>
        <v>4.5976823106107394E-2</v>
      </c>
      <c r="AB274" s="795">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796">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069">
        <f t="shared" si="140"/>
        <v>0</v>
      </c>
      <c r="AE274" s="784">
        <f t="shared" si="137"/>
        <v>9.6548775814608676E-2</v>
      </c>
      <c r="AF274" s="784">
        <f t="shared" si="138"/>
        <v>6.0061716298747091E-2</v>
      </c>
      <c r="AG274" s="784">
        <f t="shared" si="139"/>
        <v>0.15661049211335576</v>
      </c>
      <c r="AH274" s="1015">
        <f t="shared" si="135"/>
        <v>0.61648983099245991</v>
      </c>
      <c r="AI274" s="784">
        <f t="shared" si="136"/>
        <v>0.38351016900754009</v>
      </c>
    </row>
    <row r="275" spans="1:39" x14ac:dyDescent="0.2">
      <c r="A275" s="202">
        <v>2049</v>
      </c>
      <c r="B275" s="216">
        <v>0</v>
      </c>
      <c r="C275" s="217">
        <v>2.9578912063837476E-3</v>
      </c>
      <c r="D275" s="217">
        <v>5.6078037623579241E-2</v>
      </c>
      <c r="E275" s="217">
        <v>0.11520615516844472</v>
      </c>
      <c r="F275" s="217">
        <v>0.17593693755970682</v>
      </c>
      <c r="G275" s="217">
        <v>0.2020194584762654</v>
      </c>
      <c r="H275" s="217">
        <v>0.21243968944060274</v>
      </c>
      <c r="I275" s="217">
        <v>0.22059099340815688</v>
      </c>
      <c r="J275" s="217">
        <v>0.22259399788022166</v>
      </c>
      <c r="K275" s="217">
        <v>0.22450413842722294</v>
      </c>
      <c r="L275" s="252">
        <v>0.22631446847248296</v>
      </c>
      <c r="M275" s="168">
        <f t="shared" si="130"/>
        <v>0.10044109277736753</v>
      </c>
      <c r="N275" s="170">
        <f t="shared" si="131"/>
        <v>7.0844197610611642E-2</v>
      </c>
      <c r="O275" s="216">
        <v>0</v>
      </c>
      <c r="P275" s="217">
        <v>9.307527671952703E-3</v>
      </c>
      <c r="Q275" s="217">
        <v>7.8508731644764074E-2</v>
      </c>
      <c r="R275" s="217">
        <v>0.12490446850544444</v>
      </c>
      <c r="S275" s="217">
        <v>0.18962187438020681</v>
      </c>
      <c r="T275" s="217">
        <v>0.20751335727756609</v>
      </c>
      <c r="U275" s="217">
        <v>0.21679211748451216</v>
      </c>
      <c r="V275" s="217">
        <v>0.21943387780517157</v>
      </c>
      <c r="W275" s="217">
        <v>0.22534235861315446</v>
      </c>
      <c r="X275" s="217">
        <v>0.22696344191111817</v>
      </c>
      <c r="Y275" s="252">
        <v>0.22772087954311732</v>
      </c>
      <c r="Z275" s="168">
        <f t="shared" si="132"/>
        <v>6.1810867811920897E-2</v>
      </c>
      <c r="AA275" s="170">
        <f t="shared" si="133"/>
        <v>4.7832128363548422E-2</v>
      </c>
      <c r="AB275" s="795">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796">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069">
        <f t="shared" si="140"/>
        <v>0</v>
      </c>
      <c r="AE275" s="784">
        <f t="shared" si="137"/>
        <v>0.10044109277736753</v>
      </c>
      <c r="AF275" s="784">
        <f t="shared" si="138"/>
        <v>6.1810867811920897E-2</v>
      </c>
      <c r="AG275" s="784">
        <f t="shared" si="139"/>
        <v>0.16225196058928842</v>
      </c>
      <c r="AH275" s="1015">
        <f t="shared" si="135"/>
        <v>0.61904393889954923</v>
      </c>
      <c r="AI275" s="784">
        <f t="shared" si="136"/>
        <v>0.38095606110045083</v>
      </c>
    </row>
    <row r="276" spans="1:39" ht="13.5" thickBot="1" x14ac:dyDescent="0.25">
      <c r="A276" s="200">
        <v>2050</v>
      </c>
      <c r="B276" s="218">
        <v>0</v>
      </c>
      <c r="C276" s="219">
        <v>6.3063997107773353E-3</v>
      </c>
      <c r="D276" s="219">
        <v>7.0321221409828355E-2</v>
      </c>
      <c r="E276" s="219">
        <v>0.12125416867434202</v>
      </c>
      <c r="F276" s="219">
        <v>0.18760066559575522</v>
      </c>
      <c r="G276" s="219">
        <v>0.20680098453778717</v>
      </c>
      <c r="H276" s="219">
        <v>0.2166659527381381</v>
      </c>
      <c r="I276" s="219">
        <v>0.22394405666317527</v>
      </c>
      <c r="J276" s="219">
        <v>0.22653465624286545</v>
      </c>
      <c r="K276" s="219">
        <v>0.227799318551271</v>
      </c>
      <c r="L276" s="253">
        <v>0.22846516832986549</v>
      </c>
      <c r="M276" s="182">
        <f t="shared" si="130"/>
        <v>0.10456924862612758</v>
      </c>
      <c r="N276" s="184">
        <f t="shared" si="131"/>
        <v>7.495479499497916E-2</v>
      </c>
      <c r="O276" s="218">
        <v>0</v>
      </c>
      <c r="P276" s="219">
        <v>1.6439623185771902E-2</v>
      </c>
      <c r="Q276" s="219">
        <v>8.471676168483469E-2</v>
      </c>
      <c r="R276" s="219">
        <v>0.13171069886665238</v>
      </c>
      <c r="S276" s="219">
        <v>0.19480725677215108</v>
      </c>
      <c r="T276" s="219">
        <v>0.21636036052651145</v>
      </c>
      <c r="U276" s="219">
        <v>0.22052141024987629</v>
      </c>
      <c r="V276" s="219">
        <v>0.22292116017287578</v>
      </c>
      <c r="W276" s="219">
        <v>0.227799318551271</v>
      </c>
      <c r="X276" s="219">
        <v>0.22890642685092114</v>
      </c>
      <c r="Y276" s="253">
        <v>0.22903453420469627</v>
      </c>
      <c r="Z276" s="182">
        <f t="shared" si="132"/>
        <v>6.3944665202262302E-2</v>
      </c>
      <c r="AA276" s="184">
        <f t="shared" si="133"/>
        <v>5.0055634219721923E-2</v>
      </c>
      <c r="AB276" s="797">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798">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069">
        <f t="shared" si="140"/>
        <v>0</v>
      </c>
      <c r="AE276" s="784">
        <f t="shared" ref="AE276" si="141">SUMPRODUCT($B$74:$L$74,B276:L276)</f>
        <v>0.10456924862612758</v>
      </c>
      <c r="AF276" s="784">
        <f t="shared" ref="AF276" si="142">SUMPRODUCT($O$74:$Y$74,O276:Y276)</f>
        <v>6.3944665202262302E-2</v>
      </c>
      <c r="AG276" s="784">
        <f t="shared" ref="AG276" si="143">SUM(AE276:AF276)</f>
        <v>0.16851391382838987</v>
      </c>
      <c r="AH276" s="1015">
        <f t="shared" ref="AH276" si="144">IF(AG276&gt;0,AE276/AG276,0)</f>
        <v>0.62053777192913662</v>
      </c>
      <c r="AI276" s="784">
        <f t="shared" ref="AI276" si="145">IF(AG276&gt;0,AF276/AG276,0)</f>
        <v>0.37946222807086344</v>
      </c>
    </row>
    <row r="277" spans="1:39" x14ac:dyDescent="0.2">
      <c r="B277" s="99" t="str">
        <f>B$120</f>
        <v>Output generated: 11/04/2020 14:47</v>
      </c>
      <c r="O277" s="99" t="str">
        <f>O$120</f>
        <v>Output generated: 11/04/2020 14:47</v>
      </c>
      <c r="AE277" s="784"/>
      <c r="AF277" s="784"/>
      <c r="AG277" s="784"/>
      <c r="AH277" s="784"/>
      <c r="AI277" s="784"/>
    </row>
    <row r="278" spans="1:39" x14ac:dyDescent="0.2">
      <c r="AE278" s="784"/>
      <c r="AF278" s="784"/>
      <c r="AG278" s="784"/>
      <c r="AH278" s="784"/>
      <c r="AI278" s="784"/>
    </row>
    <row r="279" spans="1:39" ht="13.5" thickBot="1" x14ac:dyDescent="0.25">
      <c r="AE279" s="784"/>
      <c r="AF279" s="784"/>
      <c r="AG279" s="784"/>
      <c r="AH279" s="784"/>
      <c r="AI279" s="784"/>
    </row>
    <row r="280" spans="1:39" ht="15" x14ac:dyDescent="0.25">
      <c r="A280" s="205"/>
      <c r="B280" s="1539" t="s">
        <v>259</v>
      </c>
      <c r="C280" s="1540"/>
      <c r="D280" s="1540"/>
      <c r="E280" s="1540"/>
      <c r="F280" s="1540"/>
      <c r="G280" s="1540"/>
      <c r="H280" s="1540"/>
      <c r="I280" s="1540"/>
      <c r="J280" s="1540"/>
      <c r="K280" s="1540"/>
      <c r="L280" s="1540"/>
      <c r="M280" s="1540"/>
      <c r="N280" s="1541"/>
      <c r="O280" s="1539" t="s">
        <v>260</v>
      </c>
      <c r="P280" s="1540"/>
      <c r="Q280" s="1540"/>
      <c r="R280" s="1540"/>
      <c r="S280" s="1540"/>
      <c r="T280" s="1540"/>
      <c r="U280" s="1540"/>
      <c r="V280" s="1540"/>
      <c r="W280" s="1540"/>
      <c r="X280" s="1540"/>
      <c r="Y280" s="1540"/>
      <c r="Z280" s="1540"/>
      <c r="AA280" s="1541"/>
      <c r="AE280" s="784"/>
      <c r="AF280" s="784"/>
      <c r="AG280" s="784"/>
      <c r="AH280" s="784"/>
      <c r="AI280" s="784"/>
    </row>
    <row r="281" spans="1:39" x14ac:dyDescent="0.2">
      <c r="A281" s="196"/>
      <c r="B281" s="1536" t="s">
        <v>121</v>
      </c>
      <c r="C281" s="1537"/>
      <c r="D281" s="1537"/>
      <c r="E281" s="1537"/>
      <c r="F281" s="1537"/>
      <c r="G281" s="1537"/>
      <c r="H281" s="1537"/>
      <c r="I281" s="1537"/>
      <c r="J281" s="1537"/>
      <c r="K281" s="1537"/>
      <c r="L281" s="1537"/>
      <c r="M281" s="254"/>
      <c r="N281" s="197"/>
      <c r="O281" s="1536" t="s">
        <v>121</v>
      </c>
      <c r="P281" s="1537"/>
      <c r="Q281" s="1537"/>
      <c r="R281" s="1537"/>
      <c r="S281" s="1537"/>
      <c r="T281" s="1537"/>
      <c r="U281" s="1537"/>
      <c r="V281" s="1537"/>
      <c r="W281" s="1537"/>
      <c r="X281" s="1537"/>
      <c r="Y281" s="1537"/>
      <c r="Z281" s="254"/>
      <c r="AA281" s="197"/>
      <c r="AC281" s="801" t="s">
        <v>267</v>
      </c>
      <c r="AD281" s="106" t="b">
        <f>INDEX(TECH_OPT_FUEL2_Cls2,MATCH(RIGHT(O280),TECH_OPT_ROWS_Cls2,0))&lt;&gt;"N/A"</f>
        <v>1</v>
      </c>
      <c r="AE281" s="784"/>
      <c r="AF281" s="784"/>
      <c r="AG281" s="784"/>
      <c r="AH281" s="784"/>
      <c r="AI281" s="784"/>
    </row>
    <row r="282" spans="1:39" ht="13.5" thickBot="1" x14ac:dyDescent="0.25">
      <c r="A282" s="203"/>
      <c r="B282" s="210" t="s">
        <v>28</v>
      </c>
      <c r="C282" s="211" t="s">
        <v>29</v>
      </c>
      <c r="D282" s="211" t="s">
        <v>30</v>
      </c>
      <c r="E282" s="211" t="s">
        <v>31</v>
      </c>
      <c r="F282" s="211" t="s">
        <v>32</v>
      </c>
      <c r="G282" s="211" t="s">
        <v>33</v>
      </c>
      <c r="H282" s="211" t="s">
        <v>34</v>
      </c>
      <c r="I282" s="211" t="s">
        <v>35</v>
      </c>
      <c r="J282" s="211" t="s">
        <v>36</v>
      </c>
      <c r="K282" s="211" t="s">
        <v>37</v>
      </c>
      <c r="L282" s="249" t="s">
        <v>38</v>
      </c>
      <c r="M282" s="255" t="s">
        <v>122</v>
      </c>
      <c r="N282" s="204" t="s">
        <v>123</v>
      </c>
      <c r="O282" s="210" t="s">
        <v>28</v>
      </c>
      <c r="P282" s="211" t="s">
        <v>29</v>
      </c>
      <c r="Q282" s="211" t="s">
        <v>30</v>
      </c>
      <c r="R282" s="211" t="s">
        <v>31</v>
      </c>
      <c r="S282" s="211" t="s">
        <v>32</v>
      </c>
      <c r="T282" s="211" t="s">
        <v>33</v>
      </c>
      <c r="U282" s="211" t="s">
        <v>34</v>
      </c>
      <c r="V282" s="211" t="s">
        <v>35</v>
      </c>
      <c r="W282" s="211" t="s">
        <v>36</v>
      </c>
      <c r="X282" s="211" t="s">
        <v>37</v>
      </c>
      <c r="Y282" s="249" t="s">
        <v>38</v>
      </c>
      <c r="Z282" s="255" t="s">
        <v>122</v>
      </c>
      <c r="AA282" s="204" t="s">
        <v>123</v>
      </c>
      <c r="AB282" s="783"/>
      <c r="AC282" s="801" t="s">
        <v>268</v>
      </c>
      <c r="AD282" s="106">
        <f>MATCH(RIGHT(O280),TECH_OPT_ROWS_Cls2,0)</f>
        <v>6</v>
      </c>
      <c r="AE282" s="784"/>
      <c r="AF282" s="784"/>
      <c r="AG282" s="784"/>
      <c r="AH282" s="784"/>
      <c r="AI282" s="784"/>
    </row>
    <row r="283" spans="1:39" ht="14.25" thickTop="1" thickBot="1" x14ac:dyDescent="0.25">
      <c r="A283" s="220" t="s">
        <v>124</v>
      </c>
      <c r="B283" s="212">
        <f t="array" ref="B283:L283">TRANSPOSE(Cls2CentTruckShr)</f>
        <v>3.9559734044076443E-2</v>
      </c>
      <c r="C283" s="213">
        <v>8.9650908809480775E-2</v>
      </c>
      <c r="D283" s="213">
        <v>9.1857251580802685E-2</v>
      </c>
      <c r="E283" s="213">
        <v>9.271536797287637E-2</v>
      </c>
      <c r="F283" s="213">
        <v>0.10920126324528824</v>
      </c>
      <c r="G283" s="213">
        <v>4.7813378096654632E-2</v>
      </c>
      <c r="H283" s="213">
        <v>5.2826626309680449E-2</v>
      </c>
      <c r="I283" s="213">
        <v>3.3324854637922362E-2</v>
      </c>
      <c r="J283" s="213">
        <v>1.4796369103015083E-2</v>
      </c>
      <c r="K283" s="213">
        <v>6.5522293759777608E-3</v>
      </c>
      <c r="L283" s="250">
        <v>1.1207747736094297E-2</v>
      </c>
      <c r="M283" s="256"/>
      <c r="N283" s="208"/>
      <c r="O283" s="212">
        <f t="array" ref="O283:Y283">TRANSPOSE(Cls2NCentTruckShr)</f>
        <v>4.6052840844996765E-2</v>
      </c>
      <c r="P283" s="213">
        <v>6.7033462620106746E-2</v>
      </c>
      <c r="Q283" s="213">
        <v>6.2316087841293416E-2</v>
      </c>
      <c r="R283" s="213">
        <v>6.9108422941336428E-2</v>
      </c>
      <c r="S283" s="213">
        <v>7.8222088301235171E-2</v>
      </c>
      <c r="T283" s="213">
        <v>3.5529474750239771E-2</v>
      </c>
      <c r="U283" s="213">
        <v>3.0248313910710867E-2</v>
      </c>
      <c r="V283" s="213">
        <v>8.2628405675757074E-3</v>
      </c>
      <c r="W283" s="213">
        <v>6.4250307191884484E-3</v>
      </c>
      <c r="X283" s="213">
        <v>1.9993158802676368E-3</v>
      </c>
      <c r="Y283" s="1052">
        <v>5.2963907111801883E-3</v>
      </c>
      <c r="Z283" s="1057"/>
      <c r="AA283" s="1058"/>
    </row>
    <row r="284" spans="1:39" x14ac:dyDescent="0.2">
      <c r="A284" s="203" t="s">
        <v>125</v>
      </c>
      <c r="B284" s="770">
        <f t="array" ref="B284:L284">TRANSPOSE(Cls2CentVMTShr)</f>
        <v>6.3375455551975849E-3</v>
      </c>
      <c r="C284" s="771">
        <v>3.496913005496359E-2</v>
      </c>
      <c r="D284" s="771">
        <v>5.9955127131675522E-2</v>
      </c>
      <c r="E284" s="771">
        <v>8.4599669387910512E-2</v>
      </c>
      <c r="F284" s="771">
        <v>0.12702701008436962</v>
      </c>
      <c r="G284" s="771">
        <v>6.7204731283582092E-2</v>
      </c>
      <c r="H284" s="771">
        <v>8.8708982453757024E-2</v>
      </c>
      <c r="I284" s="771">
        <v>6.4694225377098208E-2</v>
      </c>
      <c r="J284" s="771">
        <v>3.2526447027526634E-2</v>
      </c>
      <c r="K284" s="771">
        <v>1.589064319454132E-2</v>
      </c>
      <c r="L284" s="1053">
        <v>3.2608183213810787E-2</v>
      </c>
      <c r="M284" s="1054"/>
      <c r="N284" s="1055"/>
      <c r="O284" s="770">
        <f t="array" ref="O284:Y284">TRANSPOSE(Cls2NCentVMTShr)</f>
        <v>8.1228463417563086E-3</v>
      </c>
      <c r="P284" s="771">
        <v>2.7563836768431361E-2</v>
      </c>
      <c r="Q284" s="771">
        <v>4.1883113088337191E-2</v>
      </c>
      <c r="R284" s="771">
        <v>6.4289357588678764E-2</v>
      </c>
      <c r="S284" s="771">
        <v>9.1183275251204537E-2</v>
      </c>
      <c r="T284" s="771">
        <v>5.1984283219922628E-2</v>
      </c>
      <c r="U284" s="771">
        <v>5.0286059545109812E-2</v>
      </c>
      <c r="V284" s="771">
        <v>1.5542287574292338E-2</v>
      </c>
      <c r="W284" s="771">
        <v>1.4506257462625264E-2</v>
      </c>
      <c r="X284" s="771">
        <v>4.9330966304706684E-3</v>
      </c>
      <c r="Y284" s="772">
        <v>1.5183891764738403E-2</v>
      </c>
      <c r="Z284" s="1054"/>
      <c r="AA284" s="1055"/>
      <c r="AB284" s="1552" t="str">
        <f>"% of miles on f2 for Tech "&amp; RIGHT(O279)&amp;" adopters"</f>
        <v>% of miles on f2 for Tech  adopters</v>
      </c>
      <c r="AC284" s="1553"/>
      <c r="AD284" s="1554"/>
      <c r="AE284" s="784" t="s">
        <v>297</v>
      </c>
      <c r="AF284" s="784"/>
      <c r="AG284" s="784"/>
      <c r="AH284" s="1015" t="s">
        <v>296</v>
      </c>
      <c r="AI284" s="784"/>
    </row>
    <row r="285" spans="1:39" ht="13.5" thickBot="1" x14ac:dyDescent="0.25">
      <c r="A285" s="789" t="s">
        <v>266</v>
      </c>
      <c r="B285" s="780">
        <f t="array" ref="B285:L285">TRANSPOSE(Cls2CentVMT/OPDAYS_Cls2)</f>
        <v>49.332453271995263</v>
      </c>
      <c r="C285" s="781">
        <v>120.11441047790339</v>
      </c>
      <c r="D285" s="781">
        <v>200.99157969807086</v>
      </c>
      <c r="E285" s="781">
        <v>280.98421424125928</v>
      </c>
      <c r="F285" s="781">
        <v>358.20644524895255</v>
      </c>
      <c r="G285" s="781">
        <v>432.82805471770689</v>
      </c>
      <c r="H285" s="781">
        <v>517.10615118099815</v>
      </c>
      <c r="I285" s="781">
        <v>597.8087063838957</v>
      </c>
      <c r="J285" s="781">
        <v>676.93419409560215</v>
      </c>
      <c r="K285" s="781">
        <v>746.82245226325631</v>
      </c>
      <c r="L285" s="782">
        <v>895.92826380844349</v>
      </c>
      <c r="M285" s="778"/>
      <c r="N285" s="779"/>
      <c r="O285" s="780">
        <f t="array" ref="O285:Y285">TRANSPOSE(Cls2NCentVMT/OPDAYS_Cls2)</f>
        <v>54.31462614952413</v>
      </c>
      <c r="P285" s="781">
        <v>126.62311644744663</v>
      </c>
      <c r="Q285" s="781">
        <v>206.96826351576016</v>
      </c>
      <c r="R285" s="781">
        <v>286.46600131499179</v>
      </c>
      <c r="S285" s="781">
        <v>358.9638908170715</v>
      </c>
      <c r="T285" s="781">
        <v>450.55545819643328</v>
      </c>
      <c r="U285" s="781">
        <v>511.93098482414172</v>
      </c>
      <c r="V285" s="781">
        <v>579.22933632093111</v>
      </c>
      <c r="W285" s="781">
        <v>695.25665569614875</v>
      </c>
      <c r="X285" s="781">
        <v>759.80682330760794</v>
      </c>
      <c r="Y285" s="1056">
        <v>882.81167173661356</v>
      </c>
      <c r="Z285" s="790"/>
      <c r="AA285" s="779"/>
      <c r="AB285" s="792" t="s">
        <v>186</v>
      </c>
      <c r="AC285" s="793" t="s">
        <v>15</v>
      </c>
      <c r="AD285" s="794" t="s">
        <v>18</v>
      </c>
      <c r="AE285" s="784" t="s">
        <v>186</v>
      </c>
      <c r="AF285" s="784" t="s">
        <v>15</v>
      </c>
      <c r="AG285" s="784" t="s">
        <v>18</v>
      </c>
      <c r="AH285" s="1015" t="s">
        <v>186</v>
      </c>
      <c r="AI285" s="784" t="s">
        <v>15</v>
      </c>
      <c r="AJ285" s="195"/>
      <c r="AK285" s="195"/>
      <c r="AL285" s="195"/>
      <c r="AM285" s="195"/>
    </row>
    <row r="286" spans="1:39" ht="13.5" thickTop="1" x14ac:dyDescent="0.2">
      <c r="A286" s="198">
        <v>2007</v>
      </c>
      <c r="B286" s="214">
        <v>0</v>
      </c>
      <c r="C286" s="215">
        <v>0</v>
      </c>
      <c r="D286" s="215">
        <v>0</v>
      </c>
      <c r="E286" s="215">
        <v>0</v>
      </c>
      <c r="F286" s="215">
        <v>0</v>
      </c>
      <c r="G286" s="215">
        <v>0</v>
      </c>
      <c r="H286" s="215">
        <v>0</v>
      </c>
      <c r="I286" s="215">
        <v>0</v>
      </c>
      <c r="J286" s="215">
        <v>0</v>
      </c>
      <c r="K286" s="215">
        <v>0</v>
      </c>
      <c r="L286" s="251">
        <v>0</v>
      </c>
      <c r="M286" s="154">
        <f>SUMPRODUCT($B$178:$L$178,$B286:$L286)</f>
        <v>0</v>
      </c>
      <c r="N286" s="156">
        <f>SUMPRODUCT($B$177:$L$177,$B286:$L286)</f>
        <v>0</v>
      </c>
      <c r="O286" s="214">
        <v>0</v>
      </c>
      <c r="P286" s="215">
        <v>0</v>
      </c>
      <c r="Q286" s="215">
        <v>0</v>
      </c>
      <c r="R286" s="215">
        <v>0</v>
      </c>
      <c r="S286" s="215">
        <v>0</v>
      </c>
      <c r="T286" s="215">
        <v>0</v>
      </c>
      <c r="U286" s="215">
        <v>0</v>
      </c>
      <c r="V286" s="215">
        <v>0</v>
      </c>
      <c r="W286" s="215">
        <v>0</v>
      </c>
      <c r="X286" s="215">
        <v>0</v>
      </c>
      <c r="Y286" s="251">
        <v>0</v>
      </c>
      <c r="Z286" s="259">
        <f>SUMPRODUCT($O$178:$Y$178,$O286:$Y286)</f>
        <v>0</v>
      </c>
      <c r="AA286" s="156">
        <f>SUMPRODUCT($O$177:$Y$177,$O286:$Y286)</f>
        <v>0</v>
      </c>
      <c r="AB286" s="795">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796">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069">
        <f>AB286*AH286+AC286*AI286</f>
        <v>0</v>
      </c>
      <c r="AE286" s="784">
        <f t="shared" ref="AE286:AE300" si="146">SUMPRODUCT($B$74:$L$74,B286:L286)</f>
        <v>0</v>
      </c>
      <c r="AF286" s="784">
        <f t="shared" ref="AF286:AF300" si="147">SUMPRODUCT($O$74:$Y$74,O286:Y286)</f>
        <v>0</v>
      </c>
      <c r="AG286" s="784">
        <f t="shared" ref="AG286:AG300" si="148">SUM(AE286:AF286)</f>
        <v>0</v>
      </c>
      <c r="AH286" s="1015">
        <f>IF(AG286&gt;0,AE286/AG286,0)</f>
        <v>0</v>
      </c>
      <c r="AI286" s="784">
        <f>IF(AG286&gt;0,AF286/AG286,0)</f>
        <v>0</v>
      </c>
    </row>
    <row r="287" spans="1:39" x14ac:dyDescent="0.2">
      <c r="A287" s="199">
        <v>2008</v>
      </c>
      <c r="B287" s="216">
        <v>0</v>
      </c>
      <c r="C287" s="217">
        <v>0</v>
      </c>
      <c r="D287" s="217">
        <v>0</v>
      </c>
      <c r="E287" s="217">
        <v>0</v>
      </c>
      <c r="F287" s="217">
        <v>0</v>
      </c>
      <c r="G287" s="217">
        <v>0</v>
      </c>
      <c r="H287" s="217">
        <v>0</v>
      </c>
      <c r="I287" s="217">
        <v>0</v>
      </c>
      <c r="J287" s="217">
        <v>0</v>
      </c>
      <c r="K287" s="217">
        <v>0</v>
      </c>
      <c r="L287" s="252">
        <v>0</v>
      </c>
      <c r="M287" s="168">
        <f t="shared" ref="M287:M329" si="149">SUMPRODUCT($B$178:$L$178,$B287:$L287)</f>
        <v>0</v>
      </c>
      <c r="N287" s="170">
        <f t="shared" ref="N287:N329" si="150">SUMPRODUCT($B$177:$L$177,$B287:$L287)</f>
        <v>0</v>
      </c>
      <c r="O287" s="216">
        <v>0</v>
      </c>
      <c r="P287" s="217">
        <v>0</v>
      </c>
      <c r="Q287" s="217">
        <v>0</v>
      </c>
      <c r="R287" s="217">
        <v>0</v>
      </c>
      <c r="S287" s="217">
        <v>0</v>
      </c>
      <c r="T287" s="217">
        <v>0</v>
      </c>
      <c r="U287" s="217">
        <v>0</v>
      </c>
      <c r="V287" s="217">
        <v>0</v>
      </c>
      <c r="W287" s="217">
        <v>0</v>
      </c>
      <c r="X287" s="217">
        <v>0</v>
      </c>
      <c r="Y287" s="252">
        <v>0</v>
      </c>
      <c r="Z287" s="168">
        <f t="shared" ref="Z287:Z329" si="151">SUMPRODUCT($O$178:$Y$178,$O287:$Y287)</f>
        <v>0</v>
      </c>
      <c r="AA287" s="170">
        <f t="shared" ref="AA287:AA329" si="152">SUMPRODUCT($O$177:$Y$177,$O287:$Y287)</f>
        <v>0</v>
      </c>
      <c r="AB287" s="795">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796">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069">
        <f t="shared" ref="AD287:AD311" si="153">AB287*AH287+AC287*AI287</f>
        <v>0</v>
      </c>
      <c r="AE287" s="784">
        <f t="shared" si="146"/>
        <v>0</v>
      </c>
      <c r="AF287" s="784">
        <f t="shared" si="147"/>
        <v>0</v>
      </c>
      <c r="AG287" s="784">
        <f t="shared" si="148"/>
        <v>0</v>
      </c>
      <c r="AH287" s="1015">
        <f t="shared" ref="AH287:AH328" si="154">IF(AG287&gt;0,AE287/AG287,0)</f>
        <v>0</v>
      </c>
      <c r="AI287" s="784">
        <f t="shared" ref="AI287:AI328" si="155">IF(AG287&gt;0,AF287/AG287,0)</f>
        <v>0</v>
      </c>
    </row>
    <row r="288" spans="1:39" x14ac:dyDescent="0.2">
      <c r="A288" s="199">
        <v>2009</v>
      </c>
      <c r="B288" s="216">
        <v>0</v>
      </c>
      <c r="C288" s="217">
        <v>0</v>
      </c>
      <c r="D288" s="217">
        <v>0</v>
      </c>
      <c r="E288" s="217">
        <v>0</v>
      </c>
      <c r="F288" s="217">
        <v>0</v>
      </c>
      <c r="G288" s="217">
        <v>0</v>
      </c>
      <c r="H288" s="217">
        <v>0</v>
      </c>
      <c r="I288" s="217">
        <v>0</v>
      </c>
      <c r="J288" s="217">
        <v>0</v>
      </c>
      <c r="K288" s="217">
        <v>0</v>
      </c>
      <c r="L288" s="252">
        <v>0</v>
      </c>
      <c r="M288" s="168">
        <f t="shared" si="149"/>
        <v>0</v>
      </c>
      <c r="N288" s="170">
        <f t="shared" si="150"/>
        <v>0</v>
      </c>
      <c r="O288" s="216">
        <v>0</v>
      </c>
      <c r="P288" s="217">
        <v>0</v>
      </c>
      <c r="Q288" s="217">
        <v>0</v>
      </c>
      <c r="R288" s="217">
        <v>0</v>
      </c>
      <c r="S288" s="217">
        <v>0</v>
      </c>
      <c r="T288" s="217">
        <v>0</v>
      </c>
      <c r="U288" s="217">
        <v>0</v>
      </c>
      <c r="V288" s="217">
        <v>0</v>
      </c>
      <c r="W288" s="217">
        <v>0</v>
      </c>
      <c r="X288" s="217">
        <v>0</v>
      </c>
      <c r="Y288" s="252">
        <v>0</v>
      </c>
      <c r="Z288" s="168">
        <f t="shared" si="151"/>
        <v>0</v>
      </c>
      <c r="AA288" s="170">
        <f t="shared" si="152"/>
        <v>0</v>
      </c>
      <c r="AB288" s="795">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796">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069">
        <f t="shared" si="153"/>
        <v>0</v>
      </c>
      <c r="AE288" s="784">
        <f t="shared" si="146"/>
        <v>0</v>
      </c>
      <c r="AF288" s="784">
        <f t="shared" si="147"/>
        <v>0</v>
      </c>
      <c r="AG288" s="784">
        <f t="shared" si="148"/>
        <v>0</v>
      </c>
      <c r="AH288" s="1015">
        <f t="shared" si="154"/>
        <v>0</v>
      </c>
      <c r="AI288" s="784">
        <f t="shared" si="155"/>
        <v>0</v>
      </c>
    </row>
    <row r="289" spans="1:35" ht="13.5" thickBot="1" x14ac:dyDescent="0.25">
      <c r="A289" s="200">
        <v>2010</v>
      </c>
      <c r="B289" s="218">
        <v>0</v>
      </c>
      <c r="C289" s="219">
        <v>0</v>
      </c>
      <c r="D289" s="219">
        <v>0</v>
      </c>
      <c r="E289" s="219">
        <v>0</v>
      </c>
      <c r="F289" s="219">
        <v>0</v>
      </c>
      <c r="G289" s="219">
        <v>0</v>
      </c>
      <c r="H289" s="219">
        <v>0</v>
      </c>
      <c r="I289" s="219">
        <v>0</v>
      </c>
      <c r="J289" s="219">
        <v>0</v>
      </c>
      <c r="K289" s="219">
        <v>0</v>
      </c>
      <c r="L289" s="253">
        <v>0</v>
      </c>
      <c r="M289" s="182">
        <f t="shared" si="149"/>
        <v>0</v>
      </c>
      <c r="N289" s="184">
        <f t="shared" si="150"/>
        <v>0</v>
      </c>
      <c r="O289" s="218">
        <v>0</v>
      </c>
      <c r="P289" s="219">
        <v>0</v>
      </c>
      <c r="Q289" s="219">
        <v>0</v>
      </c>
      <c r="R289" s="219">
        <v>0</v>
      </c>
      <c r="S289" s="219">
        <v>0</v>
      </c>
      <c r="T289" s="219">
        <v>0</v>
      </c>
      <c r="U289" s="219">
        <v>0</v>
      </c>
      <c r="V289" s="219">
        <v>0</v>
      </c>
      <c r="W289" s="219">
        <v>0</v>
      </c>
      <c r="X289" s="219">
        <v>0</v>
      </c>
      <c r="Y289" s="253">
        <v>0</v>
      </c>
      <c r="Z289" s="182">
        <f t="shared" si="151"/>
        <v>0</v>
      </c>
      <c r="AA289" s="184">
        <f t="shared" si="152"/>
        <v>0</v>
      </c>
      <c r="AB289" s="795">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796">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069">
        <f t="shared" si="153"/>
        <v>0</v>
      </c>
      <c r="AE289" s="784">
        <f t="shared" si="146"/>
        <v>0</v>
      </c>
      <c r="AF289" s="784">
        <f t="shared" si="147"/>
        <v>0</v>
      </c>
      <c r="AG289" s="784">
        <f t="shared" si="148"/>
        <v>0</v>
      </c>
      <c r="AH289" s="1015">
        <f t="shared" si="154"/>
        <v>0</v>
      </c>
      <c r="AI289" s="784">
        <f t="shared" si="155"/>
        <v>0</v>
      </c>
    </row>
    <row r="290" spans="1:35" x14ac:dyDescent="0.2">
      <c r="A290" s="201">
        <v>2011</v>
      </c>
      <c r="B290" s="214">
        <v>0</v>
      </c>
      <c r="C290" s="215">
        <v>0</v>
      </c>
      <c r="D290" s="215">
        <v>0</v>
      </c>
      <c r="E290" s="215">
        <v>0</v>
      </c>
      <c r="F290" s="215">
        <v>0</v>
      </c>
      <c r="G290" s="215">
        <v>0</v>
      </c>
      <c r="H290" s="215">
        <v>0</v>
      </c>
      <c r="I290" s="215">
        <v>0</v>
      </c>
      <c r="J290" s="215">
        <v>0</v>
      </c>
      <c r="K290" s="215">
        <v>0</v>
      </c>
      <c r="L290" s="251">
        <v>0</v>
      </c>
      <c r="M290" s="154">
        <f t="shared" si="149"/>
        <v>0</v>
      </c>
      <c r="N290" s="156">
        <f t="shared" si="150"/>
        <v>0</v>
      </c>
      <c r="O290" s="214">
        <v>0</v>
      </c>
      <c r="P290" s="215">
        <v>0</v>
      </c>
      <c r="Q290" s="215">
        <v>0</v>
      </c>
      <c r="R290" s="215">
        <v>0</v>
      </c>
      <c r="S290" s="215">
        <v>0</v>
      </c>
      <c r="T290" s="215">
        <v>0</v>
      </c>
      <c r="U290" s="215">
        <v>0</v>
      </c>
      <c r="V290" s="215">
        <v>0</v>
      </c>
      <c r="W290" s="215">
        <v>0</v>
      </c>
      <c r="X290" s="215">
        <v>0</v>
      </c>
      <c r="Y290" s="251">
        <v>0</v>
      </c>
      <c r="Z290" s="154">
        <f t="shared" si="151"/>
        <v>0</v>
      </c>
      <c r="AA290" s="156">
        <f t="shared" si="152"/>
        <v>0</v>
      </c>
      <c r="AB290" s="795">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796">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069">
        <f t="shared" si="153"/>
        <v>0</v>
      </c>
      <c r="AE290" s="784">
        <f t="shared" si="146"/>
        <v>0</v>
      </c>
      <c r="AF290" s="784">
        <f t="shared" si="147"/>
        <v>0</v>
      </c>
      <c r="AG290" s="784">
        <f t="shared" si="148"/>
        <v>0</v>
      </c>
      <c r="AH290" s="1015">
        <f t="shared" si="154"/>
        <v>0</v>
      </c>
      <c r="AI290" s="784">
        <f t="shared" si="155"/>
        <v>0</v>
      </c>
    </row>
    <row r="291" spans="1:35" x14ac:dyDescent="0.2">
      <c r="A291" s="202">
        <v>2012</v>
      </c>
      <c r="B291" s="216">
        <v>0</v>
      </c>
      <c r="C291" s="217">
        <v>0</v>
      </c>
      <c r="D291" s="217">
        <v>0</v>
      </c>
      <c r="E291" s="217">
        <v>0</v>
      </c>
      <c r="F291" s="217">
        <v>0</v>
      </c>
      <c r="G291" s="217">
        <v>0</v>
      </c>
      <c r="H291" s="217">
        <v>0</v>
      </c>
      <c r="I291" s="217">
        <v>0</v>
      </c>
      <c r="J291" s="217">
        <v>0</v>
      </c>
      <c r="K291" s="217">
        <v>0</v>
      </c>
      <c r="L291" s="252">
        <v>0</v>
      </c>
      <c r="M291" s="168">
        <f t="shared" si="149"/>
        <v>0</v>
      </c>
      <c r="N291" s="170">
        <f t="shared" si="150"/>
        <v>0</v>
      </c>
      <c r="O291" s="216">
        <v>0</v>
      </c>
      <c r="P291" s="217">
        <v>0</v>
      </c>
      <c r="Q291" s="217">
        <v>0</v>
      </c>
      <c r="R291" s="217">
        <v>0</v>
      </c>
      <c r="S291" s="217">
        <v>0</v>
      </c>
      <c r="T291" s="217">
        <v>0</v>
      </c>
      <c r="U291" s="217">
        <v>0</v>
      </c>
      <c r="V291" s="217">
        <v>0</v>
      </c>
      <c r="W291" s="217">
        <v>0</v>
      </c>
      <c r="X291" s="217">
        <v>0</v>
      </c>
      <c r="Y291" s="252">
        <v>0</v>
      </c>
      <c r="Z291" s="168">
        <f t="shared" si="151"/>
        <v>0</v>
      </c>
      <c r="AA291" s="170">
        <f t="shared" si="152"/>
        <v>0</v>
      </c>
      <c r="AB291" s="795">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796">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069">
        <f t="shared" si="153"/>
        <v>0</v>
      </c>
      <c r="AE291" s="784">
        <f t="shared" si="146"/>
        <v>0</v>
      </c>
      <c r="AF291" s="784">
        <f t="shared" si="147"/>
        <v>0</v>
      </c>
      <c r="AG291" s="784">
        <f t="shared" si="148"/>
        <v>0</v>
      </c>
      <c r="AH291" s="1015">
        <f t="shared" si="154"/>
        <v>0</v>
      </c>
      <c r="AI291" s="784">
        <f t="shared" si="155"/>
        <v>0</v>
      </c>
    </row>
    <row r="292" spans="1:35" x14ac:dyDescent="0.2">
      <c r="A292" s="202">
        <v>2013</v>
      </c>
      <c r="B292" s="216">
        <v>0</v>
      </c>
      <c r="C292" s="217">
        <v>0</v>
      </c>
      <c r="D292" s="217">
        <v>0</v>
      </c>
      <c r="E292" s="217">
        <v>0</v>
      </c>
      <c r="F292" s="217">
        <v>0</v>
      </c>
      <c r="G292" s="217">
        <v>0</v>
      </c>
      <c r="H292" s="217">
        <v>0</v>
      </c>
      <c r="I292" s="217">
        <v>0</v>
      </c>
      <c r="J292" s="217">
        <v>0</v>
      </c>
      <c r="K292" s="217">
        <v>0</v>
      </c>
      <c r="L292" s="252">
        <v>0</v>
      </c>
      <c r="M292" s="168">
        <f t="shared" si="149"/>
        <v>0</v>
      </c>
      <c r="N292" s="170">
        <f t="shared" si="150"/>
        <v>0</v>
      </c>
      <c r="O292" s="216">
        <v>0</v>
      </c>
      <c r="P292" s="217">
        <v>0</v>
      </c>
      <c r="Q292" s="217">
        <v>0</v>
      </c>
      <c r="R292" s="217">
        <v>0</v>
      </c>
      <c r="S292" s="217">
        <v>0</v>
      </c>
      <c r="T292" s="217">
        <v>0</v>
      </c>
      <c r="U292" s="217">
        <v>0</v>
      </c>
      <c r="V292" s="217">
        <v>0</v>
      </c>
      <c r="W292" s="217">
        <v>0</v>
      </c>
      <c r="X292" s="217">
        <v>0</v>
      </c>
      <c r="Y292" s="252">
        <v>0</v>
      </c>
      <c r="Z292" s="168">
        <f t="shared" si="151"/>
        <v>0</v>
      </c>
      <c r="AA292" s="170">
        <f t="shared" si="152"/>
        <v>0</v>
      </c>
      <c r="AB292" s="795">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796">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069">
        <f t="shared" si="153"/>
        <v>0</v>
      </c>
      <c r="AE292" s="784">
        <f t="shared" si="146"/>
        <v>0</v>
      </c>
      <c r="AF292" s="784">
        <f t="shared" si="147"/>
        <v>0</v>
      </c>
      <c r="AG292" s="784">
        <f t="shared" si="148"/>
        <v>0</v>
      </c>
      <c r="AH292" s="1015">
        <f t="shared" si="154"/>
        <v>0</v>
      </c>
      <c r="AI292" s="784">
        <f t="shared" si="155"/>
        <v>0</v>
      </c>
    </row>
    <row r="293" spans="1:35" x14ac:dyDescent="0.2">
      <c r="A293" s="202">
        <v>2014</v>
      </c>
      <c r="B293" s="216">
        <v>0</v>
      </c>
      <c r="C293" s="217">
        <v>0</v>
      </c>
      <c r="D293" s="217">
        <v>0</v>
      </c>
      <c r="E293" s="217">
        <v>0</v>
      </c>
      <c r="F293" s="217">
        <v>0</v>
      </c>
      <c r="G293" s="217">
        <v>0</v>
      </c>
      <c r="H293" s="217">
        <v>0</v>
      </c>
      <c r="I293" s="217">
        <v>0</v>
      </c>
      <c r="J293" s="217">
        <v>0</v>
      </c>
      <c r="K293" s="217">
        <v>0</v>
      </c>
      <c r="L293" s="252">
        <v>0</v>
      </c>
      <c r="M293" s="168">
        <f t="shared" si="149"/>
        <v>0</v>
      </c>
      <c r="N293" s="170">
        <f t="shared" si="150"/>
        <v>0</v>
      </c>
      <c r="O293" s="216">
        <v>0</v>
      </c>
      <c r="P293" s="217">
        <v>0</v>
      </c>
      <c r="Q293" s="217">
        <v>0</v>
      </c>
      <c r="R293" s="217">
        <v>0</v>
      </c>
      <c r="S293" s="217">
        <v>0</v>
      </c>
      <c r="T293" s="217">
        <v>0</v>
      </c>
      <c r="U293" s="217">
        <v>0</v>
      </c>
      <c r="V293" s="217">
        <v>0</v>
      </c>
      <c r="W293" s="217">
        <v>0</v>
      </c>
      <c r="X293" s="217">
        <v>0</v>
      </c>
      <c r="Y293" s="252">
        <v>0</v>
      </c>
      <c r="Z293" s="168">
        <f t="shared" si="151"/>
        <v>0</v>
      </c>
      <c r="AA293" s="170">
        <f t="shared" si="152"/>
        <v>0</v>
      </c>
      <c r="AB293" s="795">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796">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069">
        <f t="shared" si="153"/>
        <v>0</v>
      </c>
      <c r="AE293" s="784">
        <f t="shared" si="146"/>
        <v>0</v>
      </c>
      <c r="AF293" s="784">
        <f t="shared" si="147"/>
        <v>0</v>
      </c>
      <c r="AG293" s="784">
        <f t="shared" si="148"/>
        <v>0</v>
      </c>
      <c r="AH293" s="1015">
        <f t="shared" si="154"/>
        <v>0</v>
      </c>
      <c r="AI293" s="784">
        <f t="shared" si="155"/>
        <v>0</v>
      </c>
    </row>
    <row r="294" spans="1:35" ht="13.5" thickBot="1" x14ac:dyDescent="0.25">
      <c r="A294" s="200">
        <v>2015</v>
      </c>
      <c r="B294" s="218">
        <v>0</v>
      </c>
      <c r="C294" s="219">
        <v>0</v>
      </c>
      <c r="D294" s="219">
        <v>0</v>
      </c>
      <c r="E294" s="219">
        <v>0</v>
      </c>
      <c r="F294" s="219">
        <v>0</v>
      </c>
      <c r="G294" s="219">
        <v>0</v>
      </c>
      <c r="H294" s="219">
        <v>0</v>
      </c>
      <c r="I294" s="219">
        <v>0</v>
      </c>
      <c r="J294" s="219">
        <v>0</v>
      </c>
      <c r="K294" s="219">
        <v>0</v>
      </c>
      <c r="L294" s="253">
        <v>0</v>
      </c>
      <c r="M294" s="182">
        <f t="shared" si="149"/>
        <v>0</v>
      </c>
      <c r="N294" s="184">
        <f t="shared" si="150"/>
        <v>0</v>
      </c>
      <c r="O294" s="218">
        <v>0</v>
      </c>
      <c r="P294" s="219">
        <v>0</v>
      </c>
      <c r="Q294" s="219">
        <v>0</v>
      </c>
      <c r="R294" s="219">
        <v>0</v>
      </c>
      <c r="S294" s="219">
        <v>0</v>
      </c>
      <c r="T294" s="219">
        <v>0</v>
      </c>
      <c r="U294" s="219">
        <v>0</v>
      </c>
      <c r="V294" s="219">
        <v>0</v>
      </c>
      <c r="W294" s="219">
        <v>0</v>
      </c>
      <c r="X294" s="219">
        <v>0</v>
      </c>
      <c r="Y294" s="253">
        <v>0</v>
      </c>
      <c r="Z294" s="182">
        <f t="shared" si="151"/>
        <v>0</v>
      </c>
      <c r="AA294" s="184">
        <f t="shared" si="152"/>
        <v>0</v>
      </c>
      <c r="AB294" s="795">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796">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069">
        <f t="shared" si="153"/>
        <v>0</v>
      </c>
      <c r="AE294" s="784">
        <f t="shared" si="146"/>
        <v>0</v>
      </c>
      <c r="AF294" s="784">
        <f t="shared" si="147"/>
        <v>0</v>
      </c>
      <c r="AG294" s="784">
        <f t="shared" si="148"/>
        <v>0</v>
      </c>
      <c r="AH294" s="1015">
        <f t="shared" si="154"/>
        <v>0</v>
      </c>
      <c r="AI294" s="784">
        <f t="shared" si="155"/>
        <v>0</v>
      </c>
    </row>
    <row r="295" spans="1:35" x14ac:dyDescent="0.2">
      <c r="A295" s="201">
        <v>2016</v>
      </c>
      <c r="B295" s="214">
        <v>0</v>
      </c>
      <c r="C295" s="215">
        <v>0</v>
      </c>
      <c r="D295" s="215">
        <v>0</v>
      </c>
      <c r="E295" s="215">
        <v>0</v>
      </c>
      <c r="F295" s="215">
        <v>0</v>
      </c>
      <c r="G295" s="215">
        <v>0</v>
      </c>
      <c r="H295" s="215">
        <v>0</v>
      </c>
      <c r="I295" s="215">
        <v>0</v>
      </c>
      <c r="J295" s="215">
        <v>0</v>
      </c>
      <c r="K295" s="215">
        <v>0</v>
      </c>
      <c r="L295" s="251">
        <v>0</v>
      </c>
      <c r="M295" s="154">
        <f t="shared" si="149"/>
        <v>0</v>
      </c>
      <c r="N295" s="156">
        <f t="shared" si="150"/>
        <v>0</v>
      </c>
      <c r="O295" s="214">
        <v>0</v>
      </c>
      <c r="P295" s="215">
        <v>0</v>
      </c>
      <c r="Q295" s="215">
        <v>0</v>
      </c>
      <c r="R295" s="215">
        <v>0</v>
      </c>
      <c r="S295" s="215">
        <v>0</v>
      </c>
      <c r="T295" s="215">
        <v>0</v>
      </c>
      <c r="U295" s="215">
        <v>0</v>
      </c>
      <c r="V295" s="215">
        <v>0</v>
      </c>
      <c r="W295" s="215">
        <v>0</v>
      </c>
      <c r="X295" s="215">
        <v>0</v>
      </c>
      <c r="Y295" s="251">
        <v>0</v>
      </c>
      <c r="Z295" s="154">
        <f t="shared" si="151"/>
        <v>0</v>
      </c>
      <c r="AA295" s="156">
        <f t="shared" si="152"/>
        <v>0</v>
      </c>
      <c r="AB295" s="795">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796">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069">
        <f t="shared" si="153"/>
        <v>0</v>
      </c>
      <c r="AE295" s="784">
        <f t="shared" si="146"/>
        <v>0</v>
      </c>
      <c r="AF295" s="784">
        <f t="shared" si="147"/>
        <v>0</v>
      </c>
      <c r="AG295" s="784">
        <f t="shared" si="148"/>
        <v>0</v>
      </c>
      <c r="AH295" s="1015">
        <f t="shared" si="154"/>
        <v>0</v>
      </c>
      <c r="AI295" s="784">
        <f t="shared" si="155"/>
        <v>0</v>
      </c>
    </row>
    <row r="296" spans="1:35" x14ac:dyDescent="0.2">
      <c r="A296" s="202">
        <v>2017</v>
      </c>
      <c r="B296" s="216">
        <v>0</v>
      </c>
      <c r="C296" s="217">
        <v>0</v>
      </c>
      <c r="D296" s="217">
        <v>0</v>
      </c>
      <c r="E296" s="217">
        <v>0</v>
      </c>
      <c r="F296" s="217">
        <v>0</v>
      </c>
      <c r="G296" s="217">
        <v>0</v>
      </c>
      <c r="H296" s="217">
        <v>0</v>
      </c>
      <c r="I296" s="217">
        <v>0</v>
      </c>
      <c r="J296" s="217">
        <v>0</v>
      </c>
      <c r="K296" s="217">
        <v>0</v>
      </c>
      <c r="L296" s="252">
        <v>0</v>
      </c>
      <c r="M296" s="168">
        <f t="shared" si="149"/>
        <v>0</v>
      </c>
      <c r="N296" s="170">
        <f t="shared" si="150"/>
        <v>0</v>
      </c>
      <c r="O296" s="216">
        <v>0</v>
      </c>
      <c r="P296" s="217">
        <v>0</v>
      </c>
      <c r="Q296" s="217">
        <v>0</v>
      </c>
      <c r="R296" s="217">
        <v>0</v>
      </c>
      <c r="S296" s="217">
        <v>0</v>
      </c>
      <c r="T296" s="217">
        <v>0</v>
      </c>
      <c r="U296" s="217">
        <v>0</v>
      </c>
      <c r="V296" s="217">
        <v>0</v>
      </c>
      <c r="W296" s="217">
        <v>0</v>
      </c>
      <c r="X296" s="217">
        <v>0</v>
      </c>
      <c r="Y296" s="252">
        <v>0</v>
      </c>
      <c r="Z296" s="168">
        <f t="shared" si="151"/>
        <v>0</v>
      </c>
      <c r="AA296" s="170">
        <f t="shared" si="152"/>
        <v>0</v>
      </c>
      <c r="AB296" s="795">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796">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069">
        <f t="shared" si="153"/>
        <v>0</v>
      </c>
      <c r="AE296" s="784">
        <f t="shared" si="146"/>
        <v>0</v>
      </c>
      <c r="AF296" s="784">
        <f t="shared" si="147"/>
        <v>0</v>
      </c>
      <c r="AG296" s="784">
        <f t="shared" si="148"/>
        <v>0</v>
      </c>
      <c r="AH296" s="1015">
        <f t="shared" si="154"/>
        <v>0</v>
      </c>
      <c r="AI296" s="784">
        <f t="shared" si="155"/>
        <v>0</v>
      </c>
    </row>
    <row r="297" spans="1:35" x14ac:dyDescent="0.2">
      <c r="A297" s="202">
        <v>2018</v>
      </c>
      <c r="B297" s="216">
        <v>0</v>
      </c>
      <c r="C297" s="217">
        <v>0</v>
      </c>
      <c r="D297" s="217">
        <v>0</v>
      </c>
      <c r="E297" s="217">
        <v>0</v>
      </c>
      <c r="F297" s="217">
        <v>0</v>
      </c>
      <c r="G297" s="217">
        <v>0</v>
      </c>
      <c r="H297" s="217">
        <v>0</v>
      </c>
      <c r="I297" s="217">
        <v>0</v>
      </c>
      <c r="J297" s="217">
        <v>0</v>
      </c>
      <c r="K297" s="217">
        <v>0</v>
      </c>
      <c r="L297" s="252">
        <v>0</v>
      </c>
      <c r="M297" s="168">
        <f t="shared" si="149"/>
        <v>0</v>
      </c>
      <c r="N297" s="170">
        <f t="shared" si="150"/>
        <v>0</v>
      </c>
      <c r="O297" s="216">
        <v>0</v>
      </c>
      <c r="P297" s="217">
        <v>0</v>
      </c>
      <c r="Q297" s="217">
        <v>0</v>
      </c>
      <c r="R297" s="217">
        <v>0</v>
      </c>
      <c r="S297" s="217">
        <v>0</v>
      </c>
      <c r="T297" s="217">
        <v>0</v>
      </c>
      <c r="U297" s="217">
        <v>0</v>
      </c>
      <c r="V297" s="217">
        <v>0</v>
      </c>
      <c r="W297" s="217">
        <v>0</v>
      </c>
      <c r="X297" s="217">
        <v>0</v>
      </c>
      <c r="Y297" s="252">
        <v>0</v>
      </c>
      <c r="Z297" s="168">
        <f t="shared" si="151"/>
        <v>0</v>
      </c>
      <c r="AA297" s="170">
        <f t="shared" si="152"/>
        <v>0</v>
      </c>
      <c r="AB297" s="795">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796">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069">
        <f t="shared" si="153"/>
        <v>0</v>
      </c>
      <c r="AE297" s="784">
        <f t="shared" si="146"/>
        <v>0</v>
      </c>
      <c r="AF297" s="784">
        <f t="shared" si="147"/>
        <v>0</v>
      </c>
      <c r="AG297" s="784">
        <f t="shared" si="148"/>
        <v>0</v>
      </c>
      <c r="AH297" s="1015">
        <f t="shared" si="154"/>
        <v>0</v>
      </c>
      <c r="AI297" s="784">
        <f t="shared" si="155"/>
        <v>0</v>
      </c>
    </row>
    <row r="298" spans="1:35" x14ac:dyDescent="0.2">
      <c r="A298" s="202">
        <v>2019</v>
      </c>
      <c r="B298" s="216">
        <v>0</v>
      </c>
      <c r="C298" s="217">
        <v>0</v>
      </c>
      <c r="D298" s="217">
        <v>0</v>
      </c>
      <c r="E298" s="217">
        <v>0</v>
      </c>
      <c r="F298" s="217">
        <v>0</v>
      </c>
      <c r="G298" s="217">
        <v>0</v>
      </c>
      <c r="H298" s="217">
        <v>0</v>
      </c>
      <c r="I298" s="217">
        <v>0</v>
      </c>
      <c r="J298" s="217">
        <v>0</v>
      </c>
      <c r="K298" s="217">
        <v>0</v>
      </c>
      <c r="L298" s="252">
        <v>0</v>
      </c>
      <c r="M298" s="168">
        <f t="shared" si="149"/>
        <v>0</v>
      </c>
      <c r="N298" s="170">
        <f t="shared" si="150"/>
        <v>0</v>
      </c>
      <c r="O298" s="216">
        <v>0</v>
      </c>
      <c r="P298" s="217">
        <v>0</v>
      </c>
      <c r="Q298" s="217">
        <v>0</v>
      </c>
      <c r="R298" s="217">
        <v>0</v>
      </c>
      <c r="S298" s="217">
        <v>0</v>
      </c>
      <c r="T298" s="217">
        <v>0</v>
      </c>
      <c r="U298" s="217">
        <v>0</v>
      </c>
      <c r="V298" s="217">
        <v>0</v>
      </c>
      <c r="W298" s="217">
        <v>0</v>
      </c>
      <c r="X298" s="217">
        <v>0</v>
      </c>
      <c r="Y298" s="252">
        <v>0</v>
      </c>
      <c r="Z298" s="168">
        <f t="shared" si="151"/>
        <v>0</v>
      </c>
      <c r="AA298" s="170">
        <f t="shared" si="152"/>
        <v>0</v>
      </c>
      <c r="AB298" s="795">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796">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069">
        <f t="shared" si="153"/>
        <v>0</v>
      </c>
      <c r="AE298" s="784">
        <f t="shared" si="146"/>
        <v>0</v>
      </c>
      <c r="AF298" s="784">
        <f t="shared" si="147"/>
        <v>0</v>
      </c>
      <c r="AG298" s="784">
        <f t="shared" si="148"/>
        <v>0</v>
      </c>
      <c r="AH298" s="1015">
        <f t="shared" si="154"/>
        <v>0</v>
      </c>
      <c r="AI298" s="784">
        <f t="shared" si="155"/>
        <v>0</v>
      </c>
    </row>
    <row r="299" spans="1:35" ht="13.5" thickBot="1" x14ac:dyDescent="0.25">
      <c r="A299" s="200">
        <v>2020</v>
      </c>
      <c r="B299" s="218">
        <v>0</v>
      </c>
      <c r="C299" s="219">
        <v>0</v>
      </c>
      <c r="D299" s="219">
        <v>0</v>
      </c>
      <c r="E299" s="219">
        <v>0</v>
      </c>
      <c r="F299" s="219">
        <v>0</v>
      </c>
      <c r="G299" s="219">
        <v>0</v>
      </c>
      <c r="H299" s="219">
        <v>0</v>
      </c>
      <c r="I299" s="219">
        <v>0</v>
      </c>
      <c r="J299" s="219">
        <v>0</v>
      </c>
      <c r="K299" s="219">
        <v>0</v>
      </c>
      <c r="L299" s="253">
        <v>0</v>
      </c>
      <c r="M299" s="182">
        <f t="shared" si="149"/>
        <v>0</v>
      </c>
      <c r="N299" s="184">
        <f t="shared" si="150"/>
        <v>0</v>
      </c>
      <c r="O299" s="218">
        <v>0</v>
      </c>
      <c r="P299" s="219">
        <v>0</v>
      </c>
      <c r="Q299" s="219">
        <v>0</v>
      </c>
      <c r="R299" s="219">
        <v>0</v>
      </c>
      <c r="S299" s="219">
        <v>0</v>
      </c>
      <c r="T299" s="219">
        <v>0</v>
      </c>
      <c r="U299" s="219">
        <v>0</v>
      </c>
      <c r="V299" s="219">
        <v>0</v>
      </c>
      <c r="W299" s="219">
        <v>0</v>
      </c>
      <c r="X299" s="219">
        <v>0</v>
      </c>
      <c r="Y299" s="253">
        <v>0</v>
      </c>
      <c r="Z299" s="182">
        <f t="shared" si="151"/>
        <v>0</v>
      </c>
      <c r="AA299" s="184">
        <f t="shared" si="152"/>
        <v>0</v>
      </c>
      <c r="AB299" s="795">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796">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069">
        <f t="shared" si="153"/>
        <v>0</v>
      </c>
      <c r="AE299" s="784">
        <f t="shared" si="146"/>
        <v>0</v>
      </c>
      <c r="AF299" s="784">
        <f t="shared" si="147"/>
        <v>0</v>
      </c>
      <c r="AG299" s="784">
        <f t="shared" si="148"/>
        <v>0</v>
      </c>
      <c r="AH299" s="1015">
        <f t="shared" si="154"/>
        <v>0</v>
      </c>
      <c r="AI299" s="784">
        <f t="shared" si="155"/>
        <v>0</v>
      </c>
    </row>
    <row r="300" spans="1:35" x14ac:dyDescent="0.2">
      <c r="A300" s="201">
        <v>2021</v>
      </c>
      <c r="B300" s="214">
        <v>0</v>
      </c>
      <c r="C300" s="215">
        <v>0</v>
      </c>
      <c r="D300" s="215">
        <v>0</v>
      </c>
      <c r="E300" s="215">
        <v>0</v>
      </c>
      <c r="F300" s="215">
        <v>0</v>
      </c>
      <c r="G300" s="215">
        <v>0</v>
      </c>
      <c r="H300" s="215">
        <v>0</v>
      </c>
      <c r="I300" s="215">
        <v>0</v>
      </c>
      <c r="J300" s="215">
        <v>0</v>
      </c>
      <c r="K300" s="215">
        <v>0</v>
      </c>
      <c r="L300" s="251">
        <v>0</v>
      </c>
      <c r="M300" s="154">
        <f t="shared" si="149"/>
        <v>0</v>
      </c>
      <c r="N300" s="156">
        <f t="shared" si="150"/>
        <v>0</v>
      </c>
      <c r="O300" s="214">
        <v>0</v>
      </c>
      <c r="P300" s="215">
        <v>0</v>
      </c>
      <c r="Q300" s="215">
        <v>0</v>
      </c>
      <c r="R300" s="215">
        <v>0</v>
      </c>
      <c r="S300" s="215">
        <v>0</v>
      </c>
      <c r="T300" s="215">
        <v>0</v>
      </c>
      <c r="U300" s="215">
        <v>0</v>
      </c>
      <c r="V300" s="215">
        <v>0</v>
      </c>
      <c r="W300" s="215">
        <v>0</v>
      </c>
      <c r="X300" s="215">
        <v>0</v>
      </c>
      <c r="Y300" s="251">
        <v>0</v>
      </c>
      <c r="Z300" s="154">
        <f t="shared" si="151"/>
        <v>0</v>
      </c>
      <c r="AA300" s="156">
        <f t="shared" si="152"/>
        <v>0</v>
      </c>
      <c r="AB300" s="795">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796">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069">
        <f t="shared" si="153"/>
        <v>0</v>
      </c>
      <c r="AE300" s="784">
        <f t="shared" si="146"/>
        <v>0</v>
      </c>
      <c r="AF300" s="784">
        <f t="shared" si="147"/>
        <v>0</v>
      </c>
      <c r="AG300" s="784">
        <f t="shared" si="148"/>
        <v>0</v>
      </c>
      <c r="AH300" s="1015">
        <f t="shared" si="154"/>
        <v>0</v>
      </c>
      <c r="AI300" s="784">
        <f t="shared" si="155"/>
        <v>0</v>
      </c>
    </row>
    <row r="301" spans="1:35" x14ac:dyDescent="0.2">
      <c r="A301" s="202">
        <v>2022</v>
      </c>
      <c r="B301" s="216">
        <v>0</v>
      </c>
      <c r="C301" s="217">
        <v>0</v>
      </c>
      <c r="D301" s="217">
        <v>0</v>
      </c>
      <c r="E301" s="217">
        <v>0</v>
      </c>
      <c r="F301" s="217">
        <v>0</v>
      </c>
      <c r="G301" s="217">
        <v>0</v>
      </c>
      <c r="H301" s="217">
        <v>0</v>
      </c>
      <c r="I301" s="217">
        <v>0</v>
      </c>
      <c r="J301" s="217">
        <v>0</v>
      </c>
      <c r="K301" s="217">
        <v>0</v>
      </c>
      <c r="L301" s="252">
        <v>0</v>
      </c>
      <c r="M301" s="168">
        <f t="shared" si="149"/>
        <v>0</v>
      </c>
      <c r="N301" s="170">
        <f t="shared" si="150"/>
        <v>0</v>
      </c>
      <c r="O301" s="216">
        <v>0</v>
      </c>
      <c r="P301" s="217">
        <v>0</v>
      </c>
      <c r="Q301" s="217">
        <v>0</v>
      </c>
      <c r="R301" s="217">
        <v>0</v>
      </c>
      <c r="S301" s="217">
        <v>0</v>
      </c>
      <c r="T301" s="217">
        <v>0</v>
      </c>
      <c r="U301" s="217">
        <v>0</v>
      </c>
      <c r="V301" s="217">
        <v>0</v>
      </c>
      <c r="W301" s="217">
        <v>0</v>
      </c>
      <c r="X301" s="217">
        <v>0</v>
      </c>
      <c r="Y301" s="252">
        <v>0</v>
      </c>
      <c r="Z301" s="168">
        <f t="shared" si="151"/>
        <v>0</v>
      </c>
      <c r="AA301" s="170">
        <f t="shared" si="152"/>
        <v>0</v>
      </c>
      <c r="AB301" s="795">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796">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069">
        <f t="shared" si="153"/>
        <v>0</v>
      </c>
      <c r="AE301" s="784">
        <f>SUMPRODUCT($B$74:$L$74,B301:L301)</f>
        <v>0</v>
      </c>
      <c r="AF301" s="784">
        <f>SUMPRODUCT($O$74:$Y$74,O301:Y301)</f>
        <v>0</v>
      </c>
      <c r="AG301" s="784">
        <f>SUM(AE301:AF301)</f>
        <v>0</v>
      </c>
      <c r="AH301" s="1015">
        <f t="shared" si="154"/>
        <v>0</v>
      </c>
      <c r="AI301" s="784">
        <f t="shared" si="155"/>
        <v>0</v>
      </c>
    </row>
    <row r="302" spans="1:35" x14ac:dyDescent="0.2">
      <c r="A302" s="202">
        <v>2023</v>
      </c>
      <c r="B302" s="216">
        <v>0</v>
      </c>
      <c r="C302" s="217">
        <v>0</v>
      </c>
      <c r="D302" s="217">
        <v>0</v>
      </c>
      <c r="E302" s="217">
        <v>0</v>
      </c>
      <c r="F302" s="217">
        <v>0</v>
      </c>
      <c r="G302" s="217">
        <v>0</v>
      </c>
      <c r="H302" s="217">
        <v>0</v>
      </c>
      <c r="I302" s="217">
        <v>0</v>
      </c>
      <c r="J302" s="217">
        <v>0</v>
      </c>
      <c r="K302" s="217">
        <v>0</v>
      </c>
      <c r="L302" s="252">
        <v>0</v>
      </c>
      <c r="M302" s="168">
        <f t="shared" si="149"/>
        <v>0</v>
      </c>
      <c r="N302" s="170">
        <f t="shared" si="150"/>
        <v>0</v>
      </c>
      <c r="O302" s="216">
        <v>0</v>
      </c>
      <c r="P302" s="217">
        <v>0</v>
      </c>
      <c r="Q302" s="217">
        <v>0</v>
      </c>
      <c r="R302" s="217">
        <v>0</v>
      </c>
      <c r="S302" s="217">
        <v>0</v>
      </c>
      <c r="T302" s="217">
        <v>0</v>
      </c>
      <c r="U302" s="217">
        <v>0</v>
      </c>
      <c r="V302" s="217">
        <v>0</v>
      </c>
      <c r="W302" s="217">
        <v>0</v>
      </c>
      <c r="X302" s="217">
        <v>0</v>
      </c>
      <c r="Y302" s="252">
        <v>0</v>
      </c>
      <c r="Z302" s="168">
        <f t="shared" si="151"/>
        <v>0</v>
      </c>
      <c r="AA302" s="170">
        <f t="shared" si="152"/>
        <v>0</v>
      </c>
      <c r="AB302" s="795">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796">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069">
        <f t="shared" si="153"/>
        <v>0</v>
      </c>
      <c r="AE302" s="784">
        <f t="shared" ref="AE302:AE328" si="156">SUMPRODUCT($B$74:$L$74,B302:L302)</f>
        <v>0</v>
      </c>
      <c r="AF302" s="784">
        <f t="shared" ref="AF302:AF328" si="157">SUMPRODUCT($O$74:$Y$74,O302:Y302)</f>
        <v>0</v>
      </c>
      <c r="AG302" s="784">
        <f t="shared" ref="AG302:AG328" si="158">SUM(AE302:AF302)</f>
        <v>0</v>
      </c>
      <c r="AH302" s="1015">
        <f t="shared" si="154"/>
        <v>0</v>
      </c>
      <c r="AI302" s="784">
        <f t="shared" si="155"/>
        <v>0</v>
      </c>
    </row>
    <row r="303" spans="1:35" x14ac:dyDescent="0.2">
      <c r="A303" s="202">
        <v>2024</v>
      </c>
      <c r="B303" s="216">
        <v>0</v>
      </c>
      <c r="C303" s="217">
        <v>0</v>
      </c>
      <c r="D303" s="217">
        <v>0</v>
      </c>
      <c r="E303" s="217">
        <v>0</v>
      </c>
      <c r="F303" s="217">
        <v>0</v>
      </c>
      <c r="G303" s="217">
        <v>0</v>
      </c>
      <c r="H303" s="217">
        <v>0</v>
      </c>
      <c r="I303" s="217">
        <v>0</v>
      </c>
      <c r="J303" s="217">
        <v>0</v>
      </c>
      <c r="K303" s="217">
        <v>0</v>
      </c>
      <c r="L303" s="252">
        <v>0</v>
      </c>
      <c r="M303" s="168">
        <f t="shared" si="149"/>
        <v>0</v>
      </c>
      <c r="N303" s="170">
        <f t="shared" si="150"/>
        <v>0</v>
      </c>
      <c r="O303" s="216">
        <v>0</v>
      </c>
      <c r="P303" s="217">
        <v>0</v>
      </c>
      <c r="Q303" s="217">
        <v>0</v>
      </c>
      <c r="R303" s="217">
        <v>0</v>
      </c>
      <c r="S303" s="217">
        <v>0</v>
      </c>
      <c r="T303" s="217">
        <v>0</v>
      </c>
      <c r="U303" s="217">
        <v>0</v>
      </c>
      <c r="V303" s="217">
        <v>0</v>
      </c>
      <c r="W303" s="217">
        <v>0</v>
      </c>
      <c r="X303" s="217">
        <v>0</v>
      </c>
      <c r="Y303" s="252">
        <v>0</v>
      </c>
      <c r="Z303" s="168">
        <f t="shared" si="151"/>
        <v>0</v>
      </c>
      <c r="AA303" s="170">
        <f t="shared" si="152"/>
        <v>0</v>
      </c>
      <c r="AB303" s="795">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796">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069">
        <f t="shared" si="153"/>
        <v>0</v>
      </c>
      <c r="AE303" s="784">
        <f t="shared" si="156"/>
        <v>0</v>
      </c>
      <c r="AF303" s="784">
        <f t="shared" si="157"/>
        <v>0</v>
      </c>
      <c r="AG303" s="784">
        <f t="shared" si="158"/>
        <v>0</v>
      </c>
      <c r="AH303" s="1015">
        <f t="shared" si="154"/>
        <v>0</v>
      </c>
      <c r="AI303" s="784">
        <f t="shared" si="155"/>
        <v>0</v>
      </c>
    </row>
    <row r="304" spans="1:35" ht="13.5" thickBot="1" x14ac:dyDescent="0.25">
      <c r="A304" s="200">
        <v>2025</v>
      </c>
      <c r="B304" s="218">
        <v>0</v>
      </c>
      <c r="C304" s="219">
        <v>0</v>
      </c>
      <c r="D304" s="219">
        <v>0</v>
      </c>
      <c r="E304" s="219">
        <v>0</v>
      </c>
      <c r="F304" s="219">
        <v>0</v>
      </c>
      <c r="G304" s="219">
        <v>0</v>
      </c>
      <c r="H304" s="219">
        <v>0</v>
      </c>
      <c r="I304" s="219">
        <v>0</v>
      </c>
      <c r="J304" s="219">
        <v>0</v>
      </c>
      <c r="K304" s="219">
        <v>0</v>
      </c>
      <c r="L304" s="253">
        <v>0</v>
      </c>
      <c r="M304" s="182">
        <f t="shared" si="149"/>
        <v>0</v>
      </c>
      <c r="N304" s="184">
        <f t="shared" si="150"/>
        <v>0</v>
      </c>
      <c r="O304" s="218">
        <v>0</v>
      </c>
      <c r="P304" s="219">
        <v>0</v>
      </c>
      <c r="Q304" s="219">
        <v>0</v>
      </c>
      <c r="R304" s="219">
        <v>0</v>
      </c>
      <c r="S304" s="219">
        <v>0</v>
      </c>
      <c r="T304" s="219">
        <v>0</v>
      </c>
      <c r="U304" s="219">
        <v>0</v>
      </c>
      <c r="V304" s="219">
        <v>0</v>
      </c>
      <c r="W304" s="219">
        <v>0</v>
      </c>
      <c r="X304" s="219">
        <v>0</v>
      </c>
      <c r="Y304" s="253">
        <v>0</v>
      </c>
      <c r="Z304" s="182">
        <f t="shared" si="151"/>
        <v>0</v>
      </c>
      <c r="AA304" s="184">
        <f t="shared" si="152"/>
        <v>0</v>
      </c>
      <c r="AB304" s="795">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796">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069">
        <f t="shared" si="153"/>
        <v>0</v>
      </c>
      <c r="AE304" s="784">
        <f t="shared" si="156"/>
        <v>0</v>
      </c>
      <c r="AF304" s="784">
        <f t="shared" si="157"/>
        <v>0</v>
      </c>
      <c r="AG304" s="784">
        <f t="shared" si="158"/>
        <v>0</v>
      </c>
      <c r="AH304" s="1015">
        <f t="shared" si="154"/>
        <v>0</v>
      </c>
      <c r="AI304" s="784">
        <f t="shared" si="155"/>
        <v>0</v>
      </c>
    </row>
    <row r="305" spans="1:35" x14ac:dyDescent="0.2">
      <c r="A305" s="201">
        <v>2026</v>
      </c>
      <c r="B305" s="214">
        <v>0</v>
      </c>
      <c r="C305" s="215">
        <v>0</v>
      </c>
      <c r="D305" s="215">
        <v>0</v>
      </c>
      <c r="E305" s="215">
        <v>0</v>
      </c>
      <c r="F305" s="215">
        <v>0</v>
      </c>
      <c r="G305" s="215">
        <v>0</v>
      </c>
      <c r="H305" s="215">
        <v>0</v>
      </c>
      <c r="I305" s="215">
        <v>0</v>
      </c>
      <c r="J305" s="215">
        <v>0</v>
      </c>
      <c r="K305" s="215">
        <v>0</v>
      </c>
      <c r="L305" s="251">
        <v>0</v>
      </c>
      <c r="M305" s="154">
        <f t="shared" si="149"/>
        <v>0</v>
      </c>
      <c r="N305" s="156">
        <f t="shared" si="150"/>
        <v>0</v>
      </c>
      <c r="O305" s="214">
        <v>0</v>
      </c>
      <c r="P305" s="215">
        <v>0</v>
      </c>
      <c r="Q305" s="215">
        <v>0</v>
      </c>
      <c r="R305" s="215">
        <v>0</v>
      </c>
      <c r="S305" s="215">
        <v>0</v>
      </c>
      <c r="T305" s="215">
        <v>0</v>
      </c>
      <c r="U305" s="215">
        <v>0</v>
      </c>
      <c r="V305" s="215">
        <v>0</v>
      </c>
      <c r="W305" s="215">
        <v>0</v>
      </c>
      <c r="X305" s="215">
        <v>0</v>
      </c>
      <c r="Y305" s="251">
        <v>0</v>
      </c>
      <c r="Z305" s="154">
        <f t="shared" si="151"/>
        <v>0</v>
      </c>
      <c r="AA305" s="156">
        <f t="shared" si="152"/>
        <v>0</v>
      </c>
      <c r="AB305" s="795">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796">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069">
        <f t="shared" si="153"/>
        <v>0</v>
      </c>
      <c r="AE305" s="784">
        <f t="shared" si="156"/>
        <v>0</v>
      </c>
      <c r="AF305" s="784">
        <f t="shared" si="157"/>
        <v>0</v>
      </c>
      <c r="AG305" s="784">
        <f t="shared" si="158"/>
        <v>0</v>
      </c>
      <c r="AH305" s="1015">
        <f t="shared" si="154"/>
        <v>0</v>
      </c>
      <c r="AI305" s="784">
        <f t="shared" si="155"/>
        <v>0</v>
      </c>
    </row>
    <row r="306" spans="1:35" x14ac:dyDescent="0.2">
      <c r="A306" s="202">
        <v>2027</v>
      </c>
      <c r="B306" s="216">
        <v>0</v>
      </c>
      <c r="C306" s="217">
        <v>0</v>
      </c>
      <c r="D306" s="217">
        <v>0</v>
      </c>
      <c r="E306" s="217">
        <v>0</v>
      </c>
      <c r="F306" s="217">
        <v>0</v>
      </c>
      <c r="G306" s="217">
        <v>0</v>
      </c>
      <c r="H306" s="217">
        <v>0</v>
      </c>
      <c r="I306" s="217">
        <v>0</v>
      </c>
      <c r="J306" s="217">
        <v>0</v>
      </c>
      <c r="K306" s="217">
        <v>0</v>
      </c>
      <c r="L306" s="252">
        <v>0</v>
      </c>
      <c r="M306" s="168">
        <f t="shared" si="149"/>
        <v>0</v>
      </c>
      <c r="N306" s="170">
        <f t="shared" si="150"/>
        <v>0</v>
      </c>
      <c r="O306" s="216">
        <v>0</v>
      </c>
      <c r="P306" s="217">
        <v>0</v>
      </c>
      <c r="Q306" s="217">
        <v>0</v>
      </c>
      <c r="R306" s="217">
        <v>0</v>
      </c>
      <c r="S306" s="217">
        <v>0</v>
      </c>
      <c r="T306" s="217">
        <v>0</v>
      </c>
      <c r="U306" s="217">
        <v>0</v>
      </c>
      <c r="V306" s="217">
        <v>0</v>
      </c>
      <c r="W306" s="217">
        <v>0</v>
      </c>
      <c r="X306" s="217">
        <v>0</v>
      </c>
      <c r="Y306" s="252">
        <v>0</v>
      </c>
      <c r="Z306" s="168">
        <f t="shared" si="151"/>
        <v>0</v>
      </c>
      <c r="AA306" s="170">
        <f t="shared" si="152"/>
        <v>0</v>
      </c>
      <c r="AB306" s="795">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796">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069">
        <f t="shared" si="153"/>
        <v>0</v>
      </c>
      <c r="AE306" s="784">
        <f t="shared" si="156"/>
        <v>0</v>
      </c>
      <c r="AF306" s="784">
        <f t="shared" si="157"/>
        <v>0</v>
      </c>
      <c r="AG306" s="784">
        <f t="shared" si="158"/>
        <v>0</v>
      </c>
      <c r="AH306" s="1015">
        <f t="shared" si="154"/>
        <v>0</v>
      </c>
      <c r="AI306" s="784">
        <f t="shared" si="155"/>
        <v>0</v>
      </c>
    </row>
    <row r="307" spans="1:35" x14ac:dyDescent="0.2">
      <c r="A307" s="202">
        <v>2028</v>
      </c>
      <c r="B307" s="216">
        <v>0</v>
      </c>
      <c r="C307" s="217">
        <v>0</v>
      </c>
      <c r="D307" s="217">
        <v>0</v>
      </c>
      <c r="E307" s="217">
        <v>0</v>
      </c>
      <c r="F307" s="217">
        <v>0</v>
      </c>
      <c r="G307" s="217">
        <v>0</v>
      </c>
      <c r="H307" s="217">
        <v>0</v>
      </c>
      <c r="I307" s="217">
        <v>0</v>
      </c>
      <c r="J307" s="217">
        <v>0</v>
      </c>
      <c r="K307" s="217">
        <v>0</v>
      </c>
      <c r="L307" s="252">
        <v>0</v>
      </c>
      <c r="M307" s="168">
        <f t="shared" si="149"/>
        <v>0</v>
      </c>
      <c r="N307" s="170">
        <f t="shared" si="150"/>
        <v>0</v>
      </c>
      <c r="O307" s="216">
        <v>0</v>
      </c>
      <c r="P307" s="217">
        <v>0</v>
      </c>
      <c r="Q307" s="217">
        <v>0</v>
      </c>
      <c r="R307" s="217">
        <v>0</v>
      </c>
      <c r="S307" s="217">
        <v>0</v>
      </c>
      <c r="T307" s="217">
        <v>0</v>
      </c>
      <c r="U307" s="217">
        <v>0</v>
      </c>
      <c r="V307" s="217">
        <v>0</v>
      </c>
      <c r="W307" s="217">
        <v>0</v>
      </c>
      <c r="X307" s="217">
        <v>0</v>
      </c>
      <c r="Y307" s="252">
        <v>0</v>
      </c>
      <c r="Z307" s="168">
        <f t="shared" si="151"/>
        <v>0</v>
      </c>
      <c r="AA307" s="170">
        <f t="shared" si="152"/>
        <v>0</v>
      </c>
      <c r="AB307" s="795">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796">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069">
        <f t="shared" si="153"/>
        <v>0</v>
      </c>
      <c r="AE307" s="784">
        <f t="shared" si="156"/>
        <v>0</v>
      </c>
      <c r="AF307" s="784">
        <f t="shared" si="157"/>
        <v>0</v>
      </c>
      <c r="AG307" s="784">
        <f t="shared" si="158"/>
        <v>0</v>
      </c>
      <c r="AH307" s="1015">
        <f t="shared" si="154"/>
        <v>0</v>
      </c>
      <c r="AI307" s="784">
        <f t="shared" si="155"/>
        <v>0</v>
      </c>
    </row>
    <row r="308" spans="1:35" x14ac:dyDescent="0.2">
      <c r="A308" s="202">
        <v>2029</v>
      </c>
      <c r="B308" s="216">
        <v>0</v>
      </c>
      <c r="C308" s="217">
        <v>0</v>
      </c>
      <c r="D308" s="217">
        <v>0</v>
      </c>
      <c r="E308" s="217">
        <v>0</v>
      </c>
      <c r="F308" s="217">
        <v>0</v>
      </c>
      <c r="G308" s="217">
        <v>0</v>
      </c>
      <c r="H308" s="217">
        <v>0</v>
      </c>
      <c r="I308" s="217">
        <v>0</v>
      </c>
      <c r="J308" s="217">
        <v>0</v>
      </c>
      <c r="K308" s="217">
        <v>0</v>
      </c>
      <c r="L308" s="252">
        <v>0</v>
      </c>
      <c r="M308" s="168">
        <f t="shared" si="149"/>
        <v>0</v>
      </c>
      <c r="N308" s="170">
        <f t="shared" si="150"/>
        <v>0</v>
      </c>
      <c r="O308" s="216">
        <v>0</v>
      </c>
      <c r="P308" s="217">
        <v>0</v>
      </c>
      <c r="Q308" s="217">
        <v>0</v>
      </c>
      <c r="R308" s="217">
        <v>0</v>
      </c>
      <c r="S308" s="217">
        <v>0</v>
      </c>
      <c r="T308" s="217">
        <v>0</v>
      </c>
      <c r="U308" s="217">
        <v>0</v>
      </c>
      <c r="V308" s="217">
        <v>0</v>
      </c>
      <c r="W308" s="217">
        <v>0</v>
      </c>
      <c r="X308" s="217">
        <v>0</v>
      </c>
      <c r="Y308" s="252">
        <v>0</v>
      </c>
      <c r="Z308" s="168">
        <f t="shared" si="151"/>
        <v>0</v>
      </c>
      <c r="AA308" s="170">
        <f t="shared" si="152"/>
        <v>0</v>
      </c>
      <c r="AB308" s="795">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796">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069">
        <f t="shared" si="153"/>
        <v>0</v>
      </c>
      <c r="AE308" s="784">
        <f t="shared" si="156"/>
        <v>0</v>
      </c>
      <c r="AF308" s="784">
        <f t="shared" si="157"/>
        <v>0</v>
      </c>
      <c r="AG308" s="784">
        <f t="shared" si="158"/>
        <v>0</v>
      </c>
      <c r="AH308" s="1015">
        <f t="shared" si="154"/>
        <v>0</v>
      </c>
      <c r="AI308" s="784">
        <f t="shared" si="155"/>
        <v>0</v>
      </c>
    </row>
    <row r="309" spans="1:35" ht="13.5" thickBot="1" x14ac:dyDescent="0.25">
      <c r="A309" s="200">
        <v>2030</v>
      </c>
      <c r="B309" s="218">
        <v>0</v>
      </c>
      <c r="C309" s="219">
        <v>0</v>
      </c>
      <c r="D309" s="219">
        <v>0</v>
      </c>
      <c r="E309" s="219">
        <v>0</v>
      </c>
      <c r="F309" s="219">
        <v>0</v>
      </c>
      <c r="G309" s="219">
        <v>0</v>
      </c>
      <c r="H309" s="219">
        <v>0</v>
      </c>
      <c r="I309" s="219">
        <v>0</v>
      </c>
      <c r="J309" s="219">
        <v>0</v>
      </c>
      <c r="K309" s="219">
        <v>0</v>
      </c>
      <c r="L309" s="253">
        <v>0</v>
      </c>
      <c r="M309" s="182">
        <f t="shared" si="149"/>
        <v>0</v>
      </c>
      <c r="N309" s="184">
        <f t="shared" si="150"/>
        <v>0</v>
      </c>
      <c r="O309" s="218">
        <v>0</v>
      </c>
      <c r="P309" s="219">
        <v>0</v>
      </c>
      <c r="Q309" s="219">
        <v>0</v>
      </c>
      <c r="R309" s="219">
        <v>0</v>
      </c>
      <c r="S309" s="219">
        <v>0</v>
      </c>
      <c r="T309" s="219">
        <v>0</v>
      </c>
      <c r="U309" s="219">
        <v>0</v>
      </c>
      <c r="V309" s="219">
        <v>0</v>
      </c>
      <c r="W309" s="219">
        <v>0</v>
      </c>
      <c r="X309" s="219">
        <v>0</v>
      </c>
      <c r="Y309" s="253">
        <v>0</v>
      </c>
      <c r="Z309" s="182">
        <f t="shared" si="151"/>
        <v>0</v>
      </c>
      <c r="AA309" s="184">
        <f t="shared" si="152"/>
        <v>0</v>
      </c>
      <c r="AB309" s="795">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796">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069">
        <f t="shared" si="153"/>
        <v>0</v>
      </c>
      <c r="AE309" s="784">
        <f t="shared" si="156"/>
        <v>0</v>
      </c>
      <c r="AF309" s="784">
        <f t="shared" si="157"/>
        <v>0</v>
      </c>
      <c r="AG309" s="784">
        <f t="shared" si="158"/>
        <v>0</v>
      </c>
      <c r="AH309" s="1015">
        <f t="shared" si="154"/>
        <v>0</v>
      </c>
      <c r="AI309" s="784">
        <f t="shared" si="155"/>
        <v>0</v>
      </c>
    </row>
    <row r="310" spans="1:35" x14ac:dyDescent="0.2">
      <c r="A310" s="201">
        <v>2031</v>
      </c>
      <c r="B310" s="214">
        <v>0</v>
      </c>
      <c r="C310" s="215">
        <v>0</v>
      </c>
      <c r="D310" s="215">
        <v>0</v>
      </c>
      <c r="E310" s="215">
        <v>0</v>
      </c>
      <c r="F310" s="215">
        <v>0</v>
      </c>
      <c r="G310" s="215">
        <v>0</v>
      </c>
      <c r="H310" s="215">
        <v>0</v>
      </c>
      <c r="I310" s="215">
        <v>0</v>
      </c>
      <c r="J310" s="215">
        <v>0</v>
      </c>
      <c r="K310" s="215">
        <v>0</v>
      </c>
      <c r="L310" s="251">
        <v>0</v>
      </c>
      <c r="M310" s="154">
        <f t="shared" si="149"/>
        <v>0</v>
      </c>
      <c r="N310" s="156">
        <f t="shared" si="150"/>
        <v>0</v>
      </c>
      <c r="O310" s="214">
        <v>0</v>
      </c>
      <c r="P310" s="215">
        <v>0</v>
      </c>
      <c r="Q310" s="215">
        <v>0</v>
      </c>
      <c r="R310" s="215">
        <v>0</v>
      </c>
      <c r="S310" s="215">
        <v>0</v>
      </c>
      <c r="T310" s="215">
        <v>0</v>
      </c>
      <c r="U310" s="215">
        <v>0</v>
      </c>
      <c r="V310" s="215">
        <v>0</v>
      </c>
      <c r="W310" s="215">
        <v>0</v>
      </c>
      <c r="X310" s="215">
        <v>0</v>
      </c>
      <c r="Y310" s="251">
        <v>0</v>
      </c>
      <c r="Z310" s="154">
        <f t="shared" si="151"/>
        <v>0</v>
      </c>
      <c r="AA310" s="156">
        <f t="shared" si="152"/>
        <v>0</v>
      </c>
      <c r="AB310" s="795">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796">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069">
        <f t="shared" si="153"/>
        <v>0</v>
      </c>
      <c r="AE310" s="784">
        <f t="shared" si="156"/>
        <v>0</v>
      </c>
      <c r="AF310" s="784">
        <f t="shared" si="157"/>
        <v>0</v>
      </c>
      <c r="AG310" s="784">
        <f t="shared" si="158"/>
        <v>0</v>
      </c>
      <c r="AH310" s="1015">
        <f t="shared" si="154"/>
        <v>0</v>
      </c>
      <c r="AI310" s="784">
        <f t="shared" si="155"/>
        <v>0</v>
      </c>
    </row>
    <row r="311" spans="1:35" x14ac:dyDescent="0.2">
      <c r="A311" s="202">
        <v>2032</v>
      </c>
      <c r="B311" s="216">
        <v>0</v>
      </c>
      <c r="C311" s="217">
        <v>0</v>
      </c>
      <c r="D311" s="217">
        <v>0</v>
      </c>
      <c r="E311" s="217">
        <v>0</v>
      </c>
      <c r="F311" s="217">
        <v>0</v>
      </c>
      <c r="G311" s="217">
        <v>0</v>
      </c>
      <c r="H311" s="217">
        <v>0</v>
      </c>
      <c r="I311" s="217">
        <v>0</v>
      </c>
      <c r="J311" s="217">
        <v>0</v>
      </c>
      <c r="K311" s="217">
        <v>0</v>
      </c>
      <c r="L311" s="252">
        <v>1.0141896585771176E-4</v>
      </c>
      <c r="M311" s="168">
        <f t="shared" si="149"/>
        <v>3.3070882200434859E-6</v>
      </c>
      <c r="N311" s="170">
        <f t="shared" si="150"/>
        <v>1.1366781849887938E-6</v>
      </c>
      <c r="O311" s="216">
        <v>0</v>
      </c>
      <c r="P311" s="217">
        <v>0</v>
      </c>
      <c r="Q311" s="217">
        <v>0</v>
      </c>
      <c r="R311" s="217">
        <v>0</v>
      </c>
      <c r="S311" s="217">
        <v>0</v>
      </c>
      <c r="T311" s="217">
        <v>0</v>
      </c>
      <c r="U311" s="217">
        <v>0</v>
      </c>
      <c r="V311" s="217">
        <v>0</v>
      </c>
      <c r="W311" s="217">
        <v>0</v>
      </c>
      <c r="X311" s="217">
        <v>0</v>
      </c>
      <c r="Y311" s="252">
        <v>2.936903049052311E-4</v>
      </c>
      <c r="Z311" s="168">
        <f t="shared" si="151"/>
        <v>4.4593618020340492E-6</v>
      </c>
      <c r="AA311" s="170">
        <f t="shared" si="152"/>
        <v>1.5554986028637432E-6</v>
      </c>
      <c r="AB311" s="795">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0.13279501320207721</v>
      </c>
      <c r="AC311" s="796">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0.13476804785160615</v>
      </c>
      <c r="AD311" s="1069">
        <f t="shared" si="153"/>
        <v>0.13392789570633432</v>
      </c>
      <c r="AE311" s="784">
        <f t="shared" si="156"/>
        <v>3.3070882200434859E-6</v>
      </c>
      <c r="AF311" s="784">
        <f t="shared" si="157"/>
        <v>4.4593618020340492E-6</v>
      </c>
      <c r="AG311" s="784">
        <f t="shared" si="158"/>
        <v>7.7664500220775351E-6</v>
      </c>
      <c r="AH311" s="1015">
        <f t="shared" si="154"/>
        <v>0.42581722803114563</v>
      </c>
      <c r="AI311" s="784">
        <f t="shared" si="155"/>
        <v>0.57418277196885437</v>
      </c>
    </row>
    <row r="312" spans="1:35" x14ac:dyDescent="0.2">
      <c r="A312" s="202">
        <v>2033</v>
      </c>
      <c r="B312" s="216">
        <v>0</v>
      </c>
      <c r="C312" s="217">
        <v>0</v>
      </c>
      <c r="D312" s="217">
        <v>0</v>
      </c>
      <c r="E312" s="217">
        <v>0</v>
      </c>
      <c r="F312" s="217">
        <v>0</v>
      </c>
      <c r="G312" s="217">
        <v>0</v>
      </c>
      <c r="H312" s="217">
        <v>0</v>
      </c>
      <c r="I312" s="217">
        <v>0</v>
      </c>
      <c r="J312" s="217">
        <v>0</v>
      </c>
      <c r="K312" s="217">
        <v>0</v>
      </c>
      <c r="L312" s="252">
        <v>7.6023340168204204E-4</v>
      </c>
      <c r="M312" s="168">
        <f t="shared" si="149"/>
        <v>2.4789830047306637E-5</v>
      </c>
      <c r="N312" s="170">
        <f t="shared" si="150"/>
        <v>8.5205041866051734E-6</v>
      </c>
      <c r="O312" s="216">
        <v>0</v>
      </c>
      <c r="P312" s="217">
        <v>0</v>
      </c>
      <c r="Q312" s="217">
        <v>0</v>
      </c>
      <c r="R312" s="217">
        <v>0</v>
      </c>
      <c r="S312" s="217">
        <v>0</v>
      </c>
      <c r="T312" s="217">
        <v>0</v>
      </c>
      <c r="U312" s="217">
        <v>0</v>
      </c>
      <c r="V312" s="217">
        <v>0</v>
      </c>
      <c r="W312" s="217">
        <v>0</v>
      </c>
      <c r="X312" s="217">
        <v>8.003643416672215E-5</v>
      </c>
      <c r="Y312" s="252">
        <v>1.6392275879241736E-3</v>
      </c>
      <c r="Z312" s="168">
        <f t="shared" si="151"/>
        <v>2.5284681736516598E-5</v>
      </c>
      <c r="AA312" s="170">
        <f t="shared" si="152"/>
        <v>8.8420078840214211E-6</v>
      </c>
      <c r="AB312" s="795">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0.13332811857097002</v>
      </c>
      <c r="AC312" s="796">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0.1356511288720961</v>
      </c>
      <c r="AD312" s="1069">
        <f>AB312*AH312+AC312*AI312</f>
        <v>0.1345011020718016</v>
      </c>
      <c r="AE312" s="784">
        <f t="shared" si="156"/>
        <v>2.4789830047306637E-5</v>
      </c>
      <c r="AF312" s="784">
        <f t="shared" si="157"/>
        <v>2.5284681736516598E-5</v>
      </c>
      <c r="AG312" s="784">
        <f t="shared" si="158"/>
        <v>5.0074511783823235E-5</v>
      </c>
      <c r="AH312" s="1015">
        <f t="shared" si="154"/>
        <v>0.49505884659099336</v>
      </c>
      <c r="AI312" s="784">
        <f t="shared" si="155"/>
        <v>0.50494115340900658</v>
      </c>
    </row>
    <row r="313" spans="1:35" x14ac:dyDescent="0.2">
      <c r="A313" s="202">
        <v>2034</v>
      </c>
      <c r="B313" s="216">
        <v>0</v>
      </c>
      <c r="C313" s="217">
        <v>0</v>
      </c>
      <c r="D313" s="217">
        <v>0</v>
      </c>
      <c r="E313" s="217">
        <v>0</v>
      </c>
      <c r="F313" s="217">
        <v>0</v>
      </c>
      <c r="G313" s="217">
        <v>0</v>
      </c>
      <c r="H313" s="217">
        <v>0</v>
      </c>
      <c r="I313" s="217">
        <v>0</v>
      </c>
      <c r="J313" s="217">
        <v>0</v>
      </c>
      <c r="K313" s="217">
        <v>0</v>
      </c>
      <c r="L313" s="252">
        <v>1.7503423705650979E-3</v>
      </c>
      <c r="M313" s="168">
        <f t="shared" si="149"/>
        <v>5.7075484706282609E-5</v>
      </c>
      <c r="N313" s="170">
        <f t="shared" si="150"/>
        <v>1.96173957410909E-5</v>
      </c>
      <c r="O313" s="216">
        <v>0</v>
      </c>
      <c r="P313" s="217">
        <v>0</v>
      </c>
      <c r="Q313" s="217">
        <v>0</v>
      </c>
      <c r="R313" s="217">
        <v>0</v>
      </c>
      <c r="S313" s="217">
        <v>0</v>
      </c>
      <c r="T313" s="217">
        <v>0</v>
      </c>
      <c r="U313" s="217">
        <v>0</v>
      </c>
      <c r="V313" s="217">
        <v>0</v>
      </c>
      <c r="W313" s="217">
        <v>0</v>
      </c>
      <c r="X313" s="217">
        <v>2.9861317955008111E-4</v>
      </c>
      <c r="Y313" s="252">
        <v>3.1105777950383526E-3</v>
      </c>
      <c r="Z313" s="168">
        <f t="shared" si="151"/>
        <v>4.8703764235513616E-5</v>
      </c>
      <c r="AA313" s="170">
        <f t="shared" si="152"/>
        <v>1.7071857411976172E-5</v>
      </c>
      <c r="AB313" s="795">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0.13360949701516633</v>
      </c>
      <c r="AC313" s="796">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0.13625857118265772</v>
      </c>
      <c r="AD313" s="1069">
        <f t="shared" ref="AD313:AD329" si="159">AB313*AH313+AC313*AI313</f>
        <v>0.13482920584262154</v>
      </c>
      <c r="AE313" s="784">
        <f t="shared" si="156"/>
        <v>5.7075484706282609E-5</v>
      </c>
      <c r="AF313" s="784">
        <f t="shared" si="157"/>
        <v>4.8703764235513616E-5</v>
      </c>
      <c r="AG313" s="784">
        <f t="shared" si="158"/>
        <v>1.0577924894179623E-4</v>
      </c>
      <c r="AH313" s="1015">
        <f t="shared" si="154"/>
        <v>0.5395716577425097</v>
      </c>
      <c r="AI313" s="784">
        <f t="shared" si="155"/>
        <v>0.46042834225749024</v>
      </c>
    </row>
    <row r="314" spans="1:35" ht="13.5" thickBot="1" x14ac:dyDescent="0.25">
      <c r="A314" s="200">
        <v>2035</v>
      </c>
      <c r="B314" s="218">
        <v>0</v>
      </c>
      <c r="C314" s="219">
        <v>0</v>
      </c>
      <c r="D314" s="219">
        <v>0</v>
      </c>
      <c r="E314" s="219">
        <v>0</v>
      </c>
      <c r="F314" s="219">
        <v>0</v>
      </c>
      <c r="G314" s="219">
        <v>0</v>
      </c>
      <c r="H314" s="219">
        <v>0</v>
      </c>
      <c r="I314" s="219">
        <v>0</v>
      </c>
      <c r="J314" s="219">
        <v>0</v>
      </c>
      <c r="K314" s="219">
        <v>1.2898683655276289E-4</v>
      </c>
      <c r="L314" s="253">
        <v>3.7539049042928348E-3</v>
      </c>
      <c r="M314" s="182">
        <f t="shared" si="149"/>
        <v>1.2445770268285617E-4</v>
      </c>
      <c r="N314" s="184">
        <f t="shared" si="150"/>
        <v>4.2917970532176756E-5</v>
      </c>
      <c r="O314" s="218">
        <v>0</v>
      </c>
      <c r="P314" s="219">
        <v>0</v>
      </c>
      <c r="Q314" s="219">
        <v>0</v>
      </c>
      <c r="R314" s="219">
        <v>0</v>
      </c>
      <c r="S314" s="219">
        <v>0</v>
      </c>
      <c r="T314" s="219">
        <v>0</v>
      </c>
      <c r="U314" s="219">
        <v>0</v>
      </c>
      <c r="V314" s="219">
        <v>0</v>
      </c>
      <c r="W314" s="219">
        <v>1.2821862995264223E-4</v>
      </c>
      <c r="X314" s="219">
        <v>8.4354359414261497E-4</v>
      </c>
      <c r="Y314" s="253">
        <v>6.4216439515656842E-3</v>
      </c>
      <c r="Z314" s="182">
        <f t="shared" si="151"/>
        <v>1.0352680123177851E-4</v>
      </c>
      <c r="AA314" s="184">
        <f t="shared" si="152"/>
        <v>3.6521854115264278E-5</v>
      </c>
      <c r="AB314" s="795">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0.13431337284785355</v>
      </c>
      <c r="AC314" s="796">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0.13740479234679912</v>
      </c>
      <c r="AD314" s="1069">
        <f t="shared" si="159"/>
        <v>0.13571717339787348</v>
      </c>
      <c r="AE314" s="784">
        <f t="shared" si="156"/>
        <v>1.2445770268285617E-4</v>
      </c>
      <c r="AF314" s="784">
        <f t="shared" si="157"/>
        <v>1.0352680123177851E-4</v>
      </c>
      <c r="AG314" s="784">
        <f t="shared" si="158"/>
        <v>2.2798450391463469E-4</v>
      </c>
      <c r="AH314" s="1015">
        <f t="shared" si="154"/>
        <v>0.54590421956685908</v>
      </c>
      <c r="AI314" s="784">
        <f t="shared" si="155"/>
        <v>0.45409578043314092</v>
      </c>
    </row>
    <row r="315" spans="1:35" x14ac:dyDescent="0.2">
      <c r="A315" s="201">
        <v>2036</v>
      </c>
      <c r="B315" s="214">
        <v>0</v>
      </c>
      <c r="C315" s="215">
        <v>0</v>
      </c>
      <c r="D315" s="215">
        <v>0</v>
      </c>
      <c r="E315" s="215">
        <v>0</v>
      </c>
      <c r="F315" s="215">
        <v>0</v>
      </c>
      <c r="G315" s="215">
        <v>0</v>
      </c>
      <c r="H315" s="215">
        <v>0</v>
      </c>
      <c r="I315" s="215">
        <v>0</v>
      </c>
      <c r="J315" s="215">
        <v>9.310310078320274E-5</v>
      </c>
      <c r="K315" s="215">
        <v>7.5285570424327847E-4</v>
      </c>
      <c r="L315" s="251">
        <v>8.6177021638011563E-3</v>
      </c>
      <c r="M315" s="154">
        <f t="shared" si="149"/>
        <v>2.9599928548811017E-4</v>
      </c>
      <c r="N315" s="156">
        <f t="shared" si="150"/>
        <v>1.0289550302171605E-4</v>
      </c>
      <c r="O315" s="214">
        <v>0</v>
      </c>
      <c r="P315" s="215">
        <v>0</v>
      </c>
      <c r="Q315" s="215">
        <v>0</v>
      </c>
      <c r="R315" s="215">
        <v>0</v>
      </c>
      <c r="S315" s="215">
        <v>0</v>
      </c>
      <c r="T315" s="215">
        <v>0</v>
      </c>
      <c r="U315" s="215">
        <v>0</v>
      </c>
      <c r="V315" s="215">
        <v>0</v>
      </c>
      <c r="W315" s="215">
        <v>7.5285570424327847E-4</v>
      </c>
      <c r="X315" s="215">
        <v>2.9521765977890821E-3</v>
      </c>
      <c r="Y315" s="251">
        <v>1.3949356651957208E-2</v>
      </c>
      <c r="Z315" s="154">
        <f t="shared" si="151"/>
        <v>2.3729001269611865E-4</v>
      </c>
      <c r="AA315" s="156">
        <f t="shared" si="152"/>
        <v>8.4620697578559234E-5</v>
      </c>
      <c r="AB315" s="795">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0.13765200226150942</v>
      </c>
      <c r="AC315" s="796">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0.14121276040046057</v>
      </c>
      <c r="AD315" s="1069">
        <f t="shared" si="159"/>
        <v>0.13923638122219062</v>
      </c>
      <c r="AE315" s="784">
        <f t="shared" si="156"/>
        <v>2.9599928548811017E-4</v>
      </c>
      <c r="AF315" s="784">
        <f t="shared" si="157"/>
        <v>2.3729001269611865E-4</v>
      </c>
      <c r="AG315" s="784">
        <f t="shared" si="158"/>
        <v>5.3328929818422877E-4</v>
      </c>
      <c r="AH315" s="1015">
        <f t="shared" si="154"/>
        <v>0.55504448804043882</v>
      </c>
      <c r="AI315" s="784">
        <f t="shared" si="155"/>
        <v>0.44495551195956129</v>
      </c>
    </row>
    <row r="316" spans="1:35" x14ac:dyDescent="0.2">
      <c r="A316" s="202">
        <v>2037</v>
      </c>
      <c r="B316" s="216">
        <v>0</v>
      </c>
      <c r="C316" s="217">
        <v>0</v>
      </c>
      <c r="D316" s="217">
        <v>0</v>
      </c>
      <c r="E316" s="217">
        <v>0</v>
      </c>
      <c r="F316" s="217">
        <v>0</v>
      </c>
      <c r="G316" s="217">
        <v>0</v>
      </c>
      <c r="H316" s="217">
        <v>0</v>
      </c>
      <c r="I316" s="217">
        <v>0</v>
      </c>
      <c r="J316" s="217">
        <v>2.7893592322742101E-4</v>
      </c>
      <c r="K316" s="217">
        <v>1.9636102235971319E-3</v>
      </c>
      <c r="L316" s="252">
        <v>1.4274316065028117E-2</v>
      </c>
      <c r="M316" s="168">
        <f t="shared" si="149"/>
        <v>5.0573533746754598E-4</v>
      </c>
      <c r="N316" s="170">
        <f t="shared" si="150"/>
        <v>1.7697619702829992E-4</v>
      </c>
      <c r="O316" s="216">
        <v>0</v>
      </c>
      <c r="P316" s="217">
        <v>0</v>
      </c>
      <c r="Q316" s="217">
        <v>0</v>
      </c>
      <c r="R316" s="217">
        <v>0</v>
      </c>
      <c r="S316" s="217">
        <v>0</v>
      </c>
      <c r="T316" s="217">
        <v>0</v>
      </c>
      <c r="U316" s="217">
        <v>0</v>
      </c>
      <c r="V316" s="217">
        <v>0</v>
      </c>
      <c r="W316" s="217">
        <v>1.6890950309583904E-3</v>
      </c>
      <c r="X316" s="217">
        <v>5.2611403031936751E-3</v>
      </c>
      <c r="Y316" s="252">
        <v>1.9973869122902221E-2</v>
      </c>
      <c r="Z316" s="168">
        <f t="shared" si="151"/>
        <v>3.5373722778523926E-4</v>
      </c>
      <c r="AA316" s="170">
        <f t="shared" si="152"/>
        <v>1.2716058370689553E-4</v>
      </c>
      <c r="AB316" s="795">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0.13995414010400004</v>
      </c>
      <c r="AC316" s="796">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0.14376922674803844</v>
      </c>
      <c r="AD316" s="1069">
        <f t="shared" si="159"/>
        <v>0.14152433353167007</v>
      </c>
      <c r="AE316" s="784">
        <f t="shared" si="156"/>
        <v>5.0573533746754598E-4</v>
      </c>
      <c r="AF316" s="784">
        <f t="shared" si="157"/>
        <v>3.5373722778523926E-4</v>
      </c>
      <c r="AG316" s="784">
        <f t="shared" si="158"/>
        <v>8.5947256525278524E-4</v>
      </c>
      <c r="AH316" s="1015">
        <f t="shared" si="154"/>
        <v>0.58842522485729465</v>
      </c>
      <c r="AI316" s="784">
        <f t="shared" si="155"/>
        <v>0.41157477514270535</v>
      </c>
    </row>
    <row r="317" spans="1:35" x14ac:dyDescent="0.2">
      <c r="A317" s="202">
        <v>2038</v>
      </c>
      <c r="B317" s="216">
        <v>0</v>
      </c>
      <c r="C317" s="217">
        <v>0</v>
      </c>
      <c r="D317" s="217">
        <v>0</v>
      </c>
      <c r="E317" s="217">
        <v>0</v>
      </c>
      <c r="F317" s="217">
        <v>0</v>
      </c>
      <c r="G317" s="217">
        <v>0</v>
      </c>
      <c r="H317" s="217">
        <v>0</v>
      </c>
      <c r="I317" s="217">
        <v>8.2085681461178812E-5</v>
      </c>
      <c r="J317" s="217">
        <v>1.2782579927422446E-3</v>
      </c>
      <c r="K317" s="217">
        <v>4.7577696946066511E-3</v>
      </c>
      <c r="L317" s="252">
        <v>2.3001984833881745E-2</v>
      </c>
      <c r="M317" s="168">
        <f t="shared" si="149"/>
        <v>8.7254461682843441E-4</v>
      </c>
      <c r="N317" s="170">
        <f t="shared" si="150"/>
        <v>3.106235122767939E-4</v>
      </c>
      <c r="O317" s="216">
        <v>0</v>
      </c>
      <c r="P317" s="217">
        <v>0</v>
      </c>
      <c r="Q317" s="217">
        <v>0</v>
      </c>
      <c r="R317" s="217">
        <v>0</v>
      </c>
      <c r="S317" s="217">
        <v>0</v>
      </c>
      <c r="T317" s="217">
        <v>0</v>
      </c>
      <c r="U317" s="217">
        <v>0</v>
      </c>
      <c r="V317" s="217">
        <v>2.4276288968025041E-4</v>
      </c>
      <c r="W317" s="217">
        <v>4.7577696946066511E-3</v>
      </c>
      <c r="X317" s="217">
        <v>1.1738183207379212E-2</v>
      </c>
      <c r="Y317" s="252">
        <v>3.1285323822684216E-2</v>
      </c>
      <c r="Z317" s="168">
        <f t="shared" si="151"/>
        <v>6.0572908555821552E-4</v>
      </c>
      <c r="AA317" s="170">
        <f t="shared" si="152"/>
        <v>2.2174236207855654E-4</v>
      </c>
      <c r="AB317" s="795">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0.14455941801239922</v>
      </c>
      <c r="AC317" s="796">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0.14865172393889139</v>
      </c>
      <c r="AD317" s="1069">
        <f t="shared" si="159"/>
        <v>0.14623625818257646</v>
      </c>
      <c r="AE317" s="784">
        <f t="shared" si="156"/>
        <v>8.7254461682843441E-4</v>
      </c>
      <c r="AF317" s="784">
        <f t="shared" si="157"/>
        <v>6.0572908555821552E-4</v>
      </c>
      <c r="AG317" s="784">
        <f t="shared" si="158"/>
        <v>1.4782737023866499E-3</v>
      </c>
      <c r="AH317" s="1015">
        <f t="shared" si="154"/>
        <v>0.59024564626951337</v>
      </c>
      <c r="AI317" s="784">
        <f t="shared" si="155"/>
        <v>0.40975435373048669</v>
      </c>
    </row>
    <row r="318" spans="1:35" x14ac:dyDescent="0.2">
      <c r="A318" s="202">
        <v>2039</v>
      </c>
      <c r="B318" s="216">
        <v>0</v>
      </c>
      <c r="C318" s="217">
        <v>0</v>
      </c>
      <c r="D318" s="217">
        <v>0</v>
      </c>
      <c r="E318" s="217">
        <v>0</v>
      </c>
      <c r="F318" s="217">
        <v>0</v>
      </c>
      <c r="G318" s="217">
        <v>0</v>
      </c>
      <c r="H318" s="217">
        <v>0</v>
      </c>
      <c r="I318" s="217">
        <v>8.3574421960120411E-4</v>
      </c>
      <c r="J318" s="217">
        <v>5.0119036016657873E-3</v>
      </c>
      <c r="K318" s="217">
        <v>1.3842543125906326E-2</v>
      </c>
      <c r="L318" s="252">
        <v>4.3326109062458616E-2</v>
      </c>
      <c r="M318" s="168">
        <f t="shared" si="149"/>
        <v>1.8498398578761662E-3</v>
      </c>
      <c r="N318" s="170">
        <f t="shared" si="150"/>
        <v>6.7829664869801924E-4</v>
      </c>
      <c r="O318" s="216">
        <v>0</v>
      </c>
      <c r="P318" s="217">
        <v>0</v>
      </c>
      <c r="Q318" s="217">
        <v>0</v>
      </c>
      <c r="R318" s="217">
        <v>0</v>
      </c>
      <c r="S318" s="217">
        <v>0</v>
      </c>
      <c r="T318" s="217">
        <v>0</v>
      </c>
      <c r="U318" s="217">
        <v>1.4923683086186373E-4</v>
      </c>
      <c r="V318" s="217">
        <v>1.5845510778619502E-3</v>
      </c>
      <c r="W318" s="217">
        <v>1.3841736576605526E-2</v>
      </c>
      <c r="X318" s="217">
        <v>2.4156102593758378E-2</v>
      </c>
      <c r="Y318" s="252">
        <v>5.157736038774885E-2</v>
      </c>
      <c r="Z318" s="168">
        <f t="shared" si="151"/>
        <v>1.1352333211504632E-3</v>
      </c>
      <c r="AA318" s="170">
        <f t="shared" si="152"/>
        <v>4.2801017013204906E-4</v>
      </c>
      <c r="AB318" s="795">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0.15225555948838165</v>
      </c>
      <c r="AC318" s="796">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0.15655126441127945</v>
      </c>
      <c r="AD318" s="1069">
        <f t="shared" si="159"/>
        <v>0.15388923044846639</v>
      </c>
      <c r="AE318" s="784">
        <f t="shared" si="156"/>
        <v>1.8498398578761662E-3</v>
      </c>
      <c r="AF318" s="784">
        <f t="shared" si="157"/>
        <v>1.1352333211504632E-3</v>
      </c>
      <c r="AG318" s="784">
        <f t="shared" si="158"/>
        <v>2.9850731790266294E-3</v>
      </c>
      <c r="AH318" s="1015">
        <f t="shared" si="154"/>
        <v>0.6196966529575535</v>
      </c>
      <c r="AI318" s="784">
        <f t="shared" si="155"/>
        <v>0.3803033470424465</v>
      </c>
    </row>
    <row r="319" spans="1:35" ht="13.5" thickBot="1" x14ac:dyDescent="0.25">
      <c r="A319" s="200">
        <v>2040</v>
      </c>
      <c r="B319" s="218">
        <v>0</v>
      </c>
      <c r="C319" s="219">
        <v>0</v>
      </c>
      <c r="D319" s="219">
        <v>0</v>
      </c>
      <c r="E319" s="219">
        <v>0</v>
      </c>
      <c r="F319" s="219">
        <v>0</v>
      </c>
      <c r="G319" s="219">
        <v>0</v>
      </c>
      <c r="H319" s="219">
        <v>6.4550315926534751E-4</v>
      </c>
      <c r="I319" s="219">
        <v>6.2008630530228396E-3</v>
      </c>
      <c r="J319" s="219">
        <v>1.8649944537346988E-2</v>
      </c>
      <c r="K319" s="219">
        <v>3.5080234497848882E-2</v>
      </c>
      <c r="L319" s="253">
        <v>7.5412504937447264E-2</v>
      </c>
      <c r="M319" s="182">
        <f t="shared" si="149"/>
        <v>4.0815506605730691E-3</v>
      </c>
      <c r="N319" s="184">
        <f t="shared" si="150"/>
        <v>1.5917521516520925E-3</v>
      </c>
      <c r="O319" s="218">
        <v>0</v>
      </c>
      <c r="P319" s="219">
        <v>0</v>
      </c>
      <c r="Q319" s="219">
        <v>0</v>
      </c>
      <c r="R319" s="219">
        <v>0</v>
      </c>
      <c r="S319" s="219">
        <v>0</v>
      </c>
      <c r="T319" s="219">
        <v>1.6008776119465898E-4</v>
      </c>
      <c r="U319" s="219">
        <v>1.9643526298709565E-3</v>
      </c>
      <c r="V319" s="219">
        <v>9.1680997583780954E-3</v>
      </c>
      <c r="W319" s="219">
        <v>3.1588467676459141E-2</v>
      </c>
      <c r="X319" s="219">
        <v>5.0055759453030146E-2</v>
      </c>
      <c r="Y319" s="253">
        <v>7.8835670199170371E-2</v>
      </c>
      <c r="Z319" s="182">
        <f t="shared" si="151"/>
        <v>2.1517874705485242E-3</v>
      </c>
      <c r="AA319" s="184">
        <f t="shared" si="152"/>
        <v>8.6143939697915493E-4</v>
      </c>
      <c r="AB319" s="795">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0.16699455806442484</v>
      </c>
      <c r="AC319" s="796">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0.17142628755734354</v>
      </c>
      <c r="AD319" s="1069">
        <f t="shared" si="159"/>
        <v>0.1685244189182924</v>
      </c>
      <c r="AE319" s="784">
        <f t="shared" si="156"/>
        <v>4.0815506605730691E-3</v>
      </c>
      <c r="AF319" s="784">
        <f t="shared" si="157"/>
        <v>2.1517874705485242E-3</v>
      </c>
      <c r="AG319" s="784">
        <f t="shared" si="158"/>
        <v>6.2333381311215933E-3</v>
      </c>
      <c r="AH319" s="1015">
        <f t="shared" si="154"/>
        <v>0.6547937196275051</v>
      </c>
      <c r="AI319" s="784">
        <f t="shared" si="155"/>
        <v>0.3452062803724949</v>
      </c>
    </row>
    <row r="320" spans="1:35" x14ac:dyDescent="0.2">
      <c r="A320" s="201">
        <v>2041</v>
      </c>
      <c r="B320" s="214">
        <v>0</v>
      </c>
      <c r="C320" s="215">
        <v>0</v>
      </c>
      <c r="D320" s="215">
        <v>0</v>
      </c>
      <c r="E320" s="215">
        <v>0</v>
      </c>
      <c r="F320" s="215">
        <v>0</v>
      </c>
      <c r="G320" s="215">
        <v>7.0491695260163395E-4</v>
      </c>
      <c r="H320" s="215">
        <v>8.7158604243743991E-3</v>
      </c>
      <c r="I320" s="215">
        <v>2.7999538623303011E-2</v>
      </c>
      <c r="J320" s="215">
        <v>5.4265028107300495E-2</v>
      </c>
      <c r="K320" s="215">
        <v>7.4244420176835565E-2</v>
      </c>
      <c r="L320" s="251">
        <v>0.11403888522347408</v>
      </c>
      <c r="M320" s="154">
        <f t="shared" si="149"/>
        <v>9.2953983412436235E-3</v>
      </c>
      <c r="N320" s="156">
        <f t="shared" si="150"/>
        <v>3.9947254307740217E-3</v>
      </c>
      <c r="O320" s="214">
        <v>0</v>
      </c>
      <c r="P320" s="215">
        <v>0</v>
      </c>
      <c r="Q320" s="215">
        <v>0</v>
      </c>
      <c r="R320" s="215">
        <v>0</v>
      </c>
      <c r="S320" s="215">
        <v>5.6475660615941898E-5</v>
      </c>
      <c r="T320" s="215">
        <v>4.4352276693756893E-3</v>
      </c>
      <c r="U320" s="215">
        <v>1.4211026895975394E-2</v>
      </c>
      <c r="V320" s="215">
        <v>3.3827721635212797E-2</v>
      </c>
      <c r="W320" s="215">
        <v>7.2001359798909814E-2</v>
      </c>
      <c r="X320" s="215">
        <v>8.7894841959748643E-2</v>
      </c>
      <c r="Y320" s="251">
        <v>0.11545899327438129</v>
      </c>
      <c r="Z320" s="154">
        <f t="shared" si="151"/>
        <v>4.7072693580957189E-3</v>
      </c>
      <c r="AA320" s="156">
        <f t="shared" si="152"/>
        <v>2.1212280681370569E-3</v>
      </c>
      <c r="AB320" s="795">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0.19135226279648729</v>
      </c>
      <c r="AC320" s="796">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0.20064714681213822</v>
      </c>
      <c r="AD320" s="1069">
        <f t="shared" si="159"/>
        <v>0.19447691901581551</v>
      </c>
      <c r="AE320" s="784">
        <f t="shared" si="156"/>
        <v>9.2953983412436235E-3</v>
      </c>
      <c r="AF320" s="784">
        <f t="shared" si="157"/>
        <v>4.7072693580957189E-3</v>
      </c>
      <c r="AG320" s="784">
        <f t="shared" si="158"/>
        <v>1.4002667699339343E-2</v>
      </c>
      <c r="AH320" s="1015">
        <f t="shared" si="154"/>
        <v>0.66383053149809357</v>
      </c>
      <c r="AI320" s="784">
        <f t="shared" si="155"/>
        <v>0.33616946850190638</v>
      </c>
    </row>
    <row r="321" spans="1:35" x14ac:dyDescent="0.2">
      <c r="A321" s="202">
        <v>2042</v>
      </c>
      <c r="B321" s="216">
        <v>0</v>
      </c>
      <c r="C321" s="217">
        <v>0</v>
      </c>
      <c r="D321" s="217">
        <v>0</v>
      </c>
      <c r="E321" s="217">
        <v>0</v>
      </c>
      <c r="F321" s="217">
        <v>1.7350530666278257E-3</v>
      </c>
      <c r="G321" s="217">
        <v>1.3845482228091869E-2</v>
      </c>
      <c r="H321" s="217">
        <v>4.463967459893052E-2</v>
      </c>
      <c r="I321" s="217">
        <v>7.2781554467865286E-2</v>
      </c>
      <c r="J321" s="217">
        <v>0.10105082877850696</v>
      </c>
      <c r="K321" s="217">
        <v>0.11784239992516009</v>
      </c>
      <c r="L321" s="252">
        <v>0.14542652874180248</v>
      </c>
      <c r="M321" s="168">
        <f t="shared" si="149"/>
        <v>1.9720877767911697E-2</v>
      </c>
      <c r="N321" s="170">
        <f t="shared" si="150"/>
        <v>9.5322870385344278E-3</v>
      </c>
      <c r="O321" s="216">
        <v>0</v>
      </c>
      <c r="P321" s="217">
        <v>0</v>
      </c>
      <c r="Q321" s="217">
        <v>0</v>
      </c>
      <c r="R321" s="217">
        <v>1.1059591942635605E-4</v>
      </c>
      <c r="S321" s="217">
        <v>4.853846623864724E-3</v>
      </c>
      <c r="T321" s="217">
        <v>2.9765820990195566E-2</v>
      </c>
      <c r="U321" s="217">
        <v>5.6506040209024125E-2</v>
      </c>
      <c r="V321" s="217">
        <v>8.1019737256263991E-2</v>
      </c>
      <c r="W321" s="217">
        <v>0.11504096445128367</v>
      </c>
      <c r="X321" s="217">
        <v>0.12575650973164942</v>
      </c>
      <c r="Y321" s="252">
        <v>0.14662948842075885</v>
      </c>
      <c r="Z321" s="168">
        <f t="shared" si="151"/>
        <v>1.0613341945406259E-2</v>
      </c>
      <c r="AA321" s="170">
        <f t="shared" si="152"/>
        <v>5.5907265059232988E-3</v>
      </c>
      <c r="AB321" s="795">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0.22505185285213405</v>
      </c>
      <c r="AC321" s="796">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0.24526061523701595</v>
      </c>
      <c r="AD321" s="1069">
        <f t="shared" si="159"/>
        <v>0.23212249806771046</v>
      </c>
      <c r="AE321" s="784">
        <f t="shared" si="156"/>
        <v>1.9720877767911697E-2</v>
      </c>
      <c r="AF321" s="784">
        <f t="shared" si="157"/>
        <v>1.0613341945406259E-2</v>
      </c>
      <c r="AG321" s="784">
        <f t="shared" si="158"/>
        <v>3.0334219713317956E-2</v>
      </c>
      <c r="AH321" s="1015">
        <f t="shared" si="154"/>
        <v>0.65011983015516406</v>
      </c>
      <c r="AI321" s="784">
        <f t="shared" si="155"/>
        <v>0.349880169844836</v>
      </c>
    </row>
    <row r="322" spans="1:35" x14ac:dyDescent="0.2">
      <c r="A322" s="202">
        <v>2043</v>
      </c>
      <c r="B322" s="216">
        <v>0</v>
      </c>
      <c r="C322" s="217">
        <v>0</v>
      </c>
      <c r="D322" s="217">
        <v>0</v>
      </c>
      <c r="E322" s="217">
        <v>2.2246720890767612E-3</v>
      </c>
      <c r="F322" s="217">
        <v>2.3489562617876065E-2</v>
      </c>
      <c r="G322" s="217">
        <v>5.6637320590932246E-2</v>
      </c>
      <c r="H322" s="217">
        <v>0.10095284070368898</v>
      </c>
      <c r="I322" s="217">
        <v>0.12346935742289997</v>
      </c>
      <c r="J322" s="217">
        <v>0.14119729893320696</v>
      </c>
      <c r="K322" s="217">
        <v>0.15760490773995794</v>
      </c>
      <c r="L322" s="252">
        <v>0.17183552453002054</v>
      </c>
      <c r="M322" s="168">
        <f t="shared" si="149"/>
        <v>3.6621823637930789E-2</v>
      </c>
      <c r="N322" s="170">
        <f t="shared" si="150"/>
        <v>1.9974729273903511E-2</v>
      </c>
      <c r="O322" s="216">
        <v>0</v>
      </c>
      <c r="P322" s="217">
        <v>0</v>
      </c>
      <c r="Q322" s="217">
        <v>0</v>
      </c>
      <c r="R322" s="217">
        <v>6.9914498785002919E-3</v>
      </c>
      <c r="S322" s="217">
        <v>3.5675739980281028E-2</v>
      </c>
      <c r="T322" s="217">
        <v>8.1407710129775546E-2</v>
      </c>
      <c r="U322" s="217">
        <v>0.10352307708675031</v>
      </c>
      <c r="V322" s="217">
        <v>0.12702707393979082</v>
      </c>
      <c r="W322" s="217">
        <v>0.15021281971377481</v>
      </c>
      <c r="X322" s="217">
        <v>0.15983249446004205</v>
      </c>
      <c r="Y322" s="252">
        <v>0.1733296758529467</v>
      </c>
      <c r="Z322" s="168">
        <f t="shared" si="151"/>
        <v>2.0713801045540478E-2</v>
      </c>
      <c r="AA322" s="170">
        <f t="shared" si="152"/>
        <v>1.2549874442702676E-2</v>
      </c>
      <c r="AB322" s="795">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0.26574232597397213</v>
      </c>
      <c r="AC322" s="796">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0.29518846131269116</v>
      </c>
      <c r="AD322" s="1069">
        <f t="shared" si="159"/>
        <v>0.27638041341670161</v>
      </c>
      <c r="AE322" s="784">
        <f t="shared" si="156"/>
        <v>3.6621823637930789E-2</v>
      </c>
      <c r="AF322" s="784">
        <f t="shared" si="157"/>
        <v>2.0713801045540478E-2</v>
      </c>
      <c r="AG322" s="784">
        <f t="shared" si="158"/>
        <v>5.7335624683471267E-2</v>
      </c>
      <c r="AH322" s="1015">
        <f t="shared" si="154"/>
        <v>0.63872721087641937</v>
      </c>
      <c r="AI322" s="784">
        <f t="shared" si="155"/>
        <v>0.36127278912358063</v>
      </c>
    </row>
    <row r="323" spans="1:35" x14ac:dyDescent="0.2">
      <c r="A323" s="202">
        <v>2044</v>
      </c>
      <c r="B323" s="216">
        <v>0</v>
      </c>
      <c r="C323" s="217">
        <v>0</v>
      </c>
      <c r="D323" s="217">
        <v>1.2897295512218478E-3</v>
      </c>
      <c r="E323" s="217">
        <v>2.8503022813050411E-2</v>
      </c>
      <c r="F323" s="217">
        <v>7.6476368500107139E-2</v>
      </c>
      <c r="G323" s="217">
        <v>0.11077874509600481</v>
      </c>
      <c r="H323" s="217">
        <v>0.14092210921473661</v>
      </c>
      <c r="I323" s="217">
        <v>0.1651193059097078</v>
      </c>
      <c r="J323" s="217">
        <v>0.1741361214507115</v>
      </c>
      <c r="K323" s="217">
        <v>0.18342517603335845</v>
      </c>
      <c r="L323" s="252">
        <v>0.18991593717184013</v>
      </c>
      <c r="M323" s="168">
        <f t="shared" si="149"/>
        <v>5.7603001968556292E-2</v>
      </c>
      <c r="N323" s="170">
        <f t="shared" si="150"/>
        <v>3.5263133871633399E-2</v>
      </c>
      <c r="O323" s="216">
        <v>0</v>
      </c>
      <c r="P323" s="217">
        <v>0</v>
      </c>
      <c r="Q323" s="217">
        <v>5.7890725235919729E-3</v>
      </c>
      <c r="R323" s="217">
        <v>4.5557764532423502E-2</v>
      </c>
      <c r="S323" s="217">
        <v>9.0963730289788672E-2</v>
      </c>
      <c r="T323" s="217">
        <v>0.1271986707909479</v>
      </c>
      <c r="U323" s="217">
        <v>0.15218445133265734</v>
      </c>
      <c r="V323" s="217">
        <v>0.16217015996162418</v>
      </c>
      <c r="W323" s="217">
        <v>0.18202711757178239</v>
      </c>
      <c r="X323" s="217">
        <v>0.1860015234105169</v>
      </c>
      <c r="Y323" s="252">
        <v>0.19325620538321894</v>
      </c>
      <c r="Z323" s="168">
        <f t="shared" si="151"/>
        <v>3.4743775048756399E-2</v>
      </c>
      <c r="AA323" s="170">
        <f t="shared" si="152"/>
        <v>2.3652127742059881E-2</v>
      </c>
      <c r="AB323" s="795">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0.31071059611157875</v>
      </c>
      <c r="AC323" s="796">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0.34552023537337123</v>
      </c>
      <c r="AD323" s="1069">
        <f t="shared" si="159"/>
        <v>0.3238070821515121</v>
      </c>
      <c r="AE323" s="784">
        <f t="shared" si="156"/>
        <v>5.7603001968556292E-2</v>
      </c>
      <c r="AF323" s="784">
        <f t="shared" si="157"/>
        <v>3.4743775048756399E-2</v>
      </c>
      <c r="AG323" s="784">
        <f t="shared" si="158"/>
        <v>9.2346777017312698E-2</v>
      </c>
      <c r="AH323" s="1015">
        <f t="shared" si="154"/>
        <v>0.62376840674967116</v>
      </c>
      <c r="AI323" s="784">
        <f t="shared" si="155"/>
        <v>0.37623159325032879</v>
      </c>
    </row>
    <row r="324" spans="1:35" ht="13.5" thickBot="1" x14ac:dyDescent="0.25">
      <c r="A324" s="200">
        <v>2045</v>
      </c>
      <c r="B324" s="218">
        <v>0</v>
      </c>
      <c r="C324" s="219">
        <v>0</v>
      </c>
      <c r="D324" s="219">
        <v>1.9180840755679277E-2</v>
      </c>
      <c r="E324" s="219">
        <v>7.3790433156518842E-2</v>
      </c>
      <c r="F324" s="219">
        <v>0.12026529546556378</v>
      </c>
      <c r="G324" s="219">
        <v>0.15056630378470626</v>
      </c>
      <c r="H324" s="219">
        <v>0.17416342679968616</v>
      </c>
      <c r="I324" s="219">
        <v>0.18460045780485551</v>
      </c>
      <c r="J324" s="219">
        <v>0.19225334054083595</v>
      </c>
      <c r="K324" s="219">
        <v>0.20127121309260038</v>
      </c>
      <c r="L324" s="253">
        <v>0.20702490717671201</v>
      </c>
      <c r="M324" s="182">
        <f t="shared" si="149"/>
        <v>7.6383142107744925E-2</v>
      </c>
      <c r="N324" s="184">
        <f t="shared" si="150"/>
        <v>5.0771571443111584E-2</v>
      </c>
      <c r="O324" s="218">
        <v>0</v>
      </c>
      <c r="P324" s="219">
        <v>5.0561387897107293E-4</v>
      </c>
      <c r="Q324" s="219">
        <v>3.4667813330874965E-2</v>
      </c>
      <c r="R324" s="219">
        <v>8.7596709595395658E-2</v>
      </c>
      <c r="S324" s="219">
        <v>0.13201444147844368</v>
      </c>
      <c r="T324" s="219">
        <v>0.16118661551656413</v>
      </c>
      <c r="U324" s="219">
        <v>0.17933882214106542</v>
      </c>
      <c r="V324" s="219">
        <v>0.18824372134204256</v>
      </c>
      <c r="W324" s="219">
        <v>0.19536059922518834</v>
      </c>
      <c r="X324" s="219">
        <v>0.20349324688713358</v>
      </c>
      <c r="Y324" s="253">
        <v>0.20596920378911424</v>
      </c>
      <c r="Z324" s="182">
        <f t="shared" si="151"/>
        <v>4.6423346456444546E-2</v>
      </c>
      <c r="AA324" s="184">
        <f t="shared" si="152"/>
        <v>3.4034310444177991E-2</v>
      </c>
      <c r="AB324" s="795">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0.34870444201663603</v>
      </c>
      <c r="AC324" s="796">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0.38452218174241748</v>
      </c>
      <c r="AD324" s="1069">
        <f t="shared" si="159"/>
        <v>0.36224427496860256</v>
      </c>
      <c r="AE324" s="784">
        <f t="shared" si="156"/>
        <v>7.6383142107744925E-2</v>
      </c>
      <c r="AF324" s="784">
        <f t="shared" si="157"/>
        <v>4.6423346456444546E-2</v>
      </c>
      <c r="AG324" s="784">
        <f t="shared" si="158"/>
        <v>0.12280648856418946</v>
      </c>
      <c r="AH324" s="1015">
        <f t="shared" si="154"/>
        <v>0.62197969342491521</v>
      </c>
      <c r="AI324" s="784">
        <f t="shared" si="155"/>
        <v>0.37802030657508479</v>
      </c>
    </row>
    <row r="325" spans="1:35" x14ac:dyDescent="0.2">
      <c r="A325" s="201">
        <v>2046</v>
      </c>
      <c r="B325" s="214">
        <v>0</v>
      </c>
      <c r="C325" s="215">
        <v>9.8286861832998554E-4</v>
      </c>
      <c r="D325" s="215">
        <v>4.9812890130460169E-2</v>
      </c>
      <c r="E325" s="215">
        <v>9.575286562550013E-2</v>
      </c>
      <c r="F325" s="215">
        <v>0.14771579594543616</v>
      </c>
      <c r="G325" s="215">
        <v>0.17087000276490505</v>
      </c>
      <c r="H325" s="215">
        <v>0.18646325429715382</v>
      </c>
      <c r="I325" s="215">
        <v>0.19704054974923405</v>
      </c>
      <c r="J325" s="215">
        <v>0.20533614093333569</v>
      </c>
      <c r="K325" s="215">
        <v>0.20792190864333443</v>
      </c>
      <c r="L325" s="251">
        <v>0.21319542103423311</v>
      </c>
      <c r="M325" s="154">
        <f t="shared" si="149"/>
        <v>8.7591872127928433E-2</v>
      </c>
      <c r="N325" s="156">
        <f t="shared" si="150"/>
        <v>6.1048770182594345E-2</v>
      </c>
      <c r="O325" s="214">
        <v>0</v>
      </c>
      <c r="P325" s="215">
        <v>5.2250075494058379E-3</v>
      </c>
      <c r="Q325" s="215">
        <v>6.629925902188312E-2</v>
      </c>
      <c r="R325" s="215">
        <v>0.10964667936684325</v>
      </c>
      <c r="S325" s="215">
        <v>0.15880467269840862</v>
      </c>
      <c r="T325" s="215">
        <v>0.18047751613444343</v>
      </c>
      <c r="U325" s="215">
        <v>0.19200992611300374</v>
      </c>
      <c r="V325" s="215">
        <v>0.20076300328705537</v>
      </c>
      <c r="W325" s="215">
        <v>0.20792190864333443</v>
      </c>
      <c r="X325" s="215">
        <v>0.21090616118070976</v>
      </c>
      <c r="Y325" s="251">
        <v>0.21240572363064064</v>
      </c>
      <c r="Z325" s="154">
        <f t="shared" si="151"/>
        <v>5.3889753331037786E-2</v>
      </c>
      <c r="AA325" s="156">
        <f t="shared" si="152"/>
        <v>4.124297996824506E-2</v>
      </c>
      <c r="AB325" s="795">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0.3745305048730323</v>
      </c>
      <c r="AC325" s="796">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0.41060289064174349</v>
      </c>
      <c r="AD325" s="1069">
        <f t="shared" si="159"/>
        <v>0.3882703241946705</v>
      </c>
      <c r="AE325" s="784">
        <f t="shared" si="156"/>
        <v>8.7591872127928433E-2</v>
      </c>
      <c r="AF325" s="784">
        <f t="shared" si="157"/>
        <v>5.3889753331037786E-2</v>
      </c>
      <c r="AG325" s="784">
        <f t="shared" si="158"/>
        <v>0.14148162545896623</v>
      </c>
      <c r="AH325" s="1015">
        <f t="shared" si="154"/>
        <v>0.61910422532806297</v>
      </c>
      <c r="AI325" s="784">
        <f t="shared" si="155"/>
        <v>0.38089577467193703</v>
      </c>
    </row>
    <row r="326" spans="1:35" x14ac:dyDescent="0.2">
      <c r="A326" s="202">
        <v>2047</v>
      </c>
      <c r="B326" s="216">
        <v>0</v>
      </c>
      <c r="C326" s="217">
        <v>5.1431601820374501E-3</v>
      </c>
      <c r="D326" s="217">
        <v>6.7310762887408046E-2</v>
      </c>
      <c r="E326" s="217">
        <v>0.11170733178843906</v>
      </c>
      <c r="F326" s="217">
        <v>0.16497410876014013</v>
      </c>
      <c r="G326" s="217">
        <v>0.18343100297211568</v>
      </c>
      <c r="H326" s="217">
        <v>0.19774349165110194</v>
      </c>
      <c r="I326" s="217">
        <v>0.20732434347685116</v>
      </c>
      <c r="J326" s="217">
        <v>0.21113667405240993</v>
      </c>
      <c r="K326" s="217">
        <v>0.21382256599026628</v>
      </c>
      <c r="L326" s="252">
        <v>0.21832233794122624</v>
      </c>
      <c r="M326" s="168">
        <f t="shared" si="149"/>
        <v>9.528819003875863E-2</v>
      </c>
      <c r="N326" s="170">
        <f t="shared" si="150"/>
        <v>6.8114041511560655E-2</v>
      </c>
      <c r="O326" s="216">
        <v>0</v>
      </c>
      <c r="P326" s="217">
        <v>1.3905540688797742E-2</v>
      </c>
      <c r="Q326" s="217">
        <v>8.4709298142495948E-2</v>
      </c>
      <c r="R326" s="217">
        <v>0.11975173364329753</v>
      </c>
      <c r="S326" s="217">
        <v>0.17679801283920119</v>
      </c>
      <c r="T326" s="217">
        <v>0.19107817437910299</v>
      </c>
      <c r="U326" s="217">
        <v>0.20283057802353707</v>
      </c>
      <c r="V326" s="217">
        <v>0.20608695787079243</v>
      </c>
      <c r="W326" s="217">
        <v>0.21285183202632366</v>
      </c>
      <c r="X326" s="217">
        <v>0.21644001827341861</v>
      </c>
      <c r="Y326" s="252">
        <v>0.21769378434834422</v>
      </c>
      <c r="Z326" s="168">
        <f t="shared" si="151"/>
        <v>5.854748014577877E-2</v>
      </c>
      <c r="AA326" s="170">
        <f t="shared" si="152"/>
        <v>4.5896608539349709E-2</v>
      </c>
      <c r="AB326" s="795">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0.39006602699157628</v>
      </c>
      <c r="AC326" s="796">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0.42644597666033263</v>
      </c>
      <c r="AD326" s="1069">
        <f t="shared" si="159"/>
        <v>0.40391167396266503</v>
      </c>
      <c r="AE326" s="784">
        <f t="shared" si="156"/>
        <v>9.528819003875863E-2</v>
      </c>
      <c r="AF326" s="784">
        <f t="shared" si="157"/>
        <v>5.854748014577877E-2</v>
      </c>
      <c r="AG326" s="784">
        <f t="shared" si="158"/>
        <v>0.15383567018453739</v>
      </c>
      <c r="AH326" s="1015">
        <f t="shared" si="154"/>
        <v>0.61941544457441711</v>
      </c>
      <c r="AI326" s="784">
        <f t="shared" si="155"/>
        <v>0.38058455542558295</v>
      </c>
    </row>
    <row r="327" spans="1:35" x14ac:dyDescent="0.2">
      <c r="A327" s="202">
        <v>2048</v>
      </c>
      <c r="B327" s="216">
        <v>0</v>
      </c>
      <c r="C327" s="217">
        <v>1.0518421852823119E-2</v>
      </c>
      <c r="D327" s="217">
        <v>7.6269766975709863E-2</v>
      </c>
      <c r="E327" s="217">
        <v>0.11701161987284493</v>
      </c>
      <c r="F327" s="217">
        <v>0.17642954880053635</v>
      </c>
      <c r="G327" s="217">
        <v>0.1956764718776422</v>
      </c>
      <c r="H327" s="217">
        <v>0.20245589074246767</v>
      </c>
      <c r="I327" s="217">
        <v>0.21238415247545814</v>
      </c>
      <c r="J327" s="217">
        <v>0.21586289671415851</v>
      </c>
      <c r="K327" s="217">
        <v>0.21815986672398366</v>
      </c>
      <c r="L327" s="252">
        <v>0.22181972085172422</v>
      </c>
      <c r="M327" s="168">
        <f t="shared" si="149"/>
        <v>9.9822206839520713E-2</v>
      </c>
      <c r="N327" s="170">
        <f t="shared" si="150"/>
        <v>7.230222813249991E-2</v>
      </c>
      <c r="O327" s="216">
        <v>0</v>
      </c>
      <c r="P327" s="217">
        <v>2.1082769216592315E-2</v>
      </c>
      <c r="Q327" s="217">
        <v>8.9491018036437622E-2</v>
      </c>
      <c r="R327" s="217">
        <v>0.12718937938066335</v>
      </c>
      <c r="S327" s="217">
        <v>0.18147106406581207</v>
      </c>
      <c r="T327" s="217">
        <v>0.19968836454624106</v>
      </c>
      <c r="U327" s="217">
        <v>0.20818328656041299</v>
      </c>
      <c r="V327" s="217">
        <v>0.21125267913455273</v>
      </c>
      <c r="W327" s="217">
        <v>0.2173368829899428</v>
      </c>
      <c r="X327" s="217">
        <v>0.22037787875991049</v>
      </c>
      <c r="Y327" s="252">
        <v>0.22181972085172422</v>
      </c>
      <c r="Z327" s="168">
        <f t="shared" si="151"/>
        <v>6.079403423258261E-2</v>
      </c>
      <c r="AA327" s="170">
        <f t="shared" si="152"/>
        <v>4.8124292551964556E-2</v>
      </c>
      <c r="AB327" s="795">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0.39891363971143756</v>
      </c>
      <c r="AC327" s="796">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0.43435857020460744</v>
      </c>
      <c r="AD327" s="1069">
        <f t="shared" si="159"/>
        <v>0.41232971957602571</v>
      </c>
      <c r="AE327" s="784">
        <f t="shared" si="156"/>
        <v>9.9822206839520713E-2</v>
      </c>
      <c r="AF327" s="784">
        <f t="shared" si="157"/>
        <v>6.079403423258261E-2</v>
      </c>
      <c r="AG327" s="784">
        <f t="shared" si="158"/>
        <v>0.16061624107210332</v>
      </c>
      <c r="AH327" s="1015">
        <f t="shared" si="154"/>
        <v>0.62149510020414966</v>
      </c>
      <c r="AI327" s="784">
        <f t="shared" si="155"/>
        <v>0.37850489979585034</v>
      </c>
    </row>
    <row r="328" spans="1:35" x14ac:dyDescent="0.2">
      <c r="A328" s="202">
        <v>2049</v>
      </c>
      <c r="B328" s="216">
        <v>0</v>
      </c>
      <c r="C328" s="217">
        <v>1.3008887692232313E-2</v>
      </c>
      <c r="D328" s="217">
        <v>8.2951978575944871E-2</v>
      </c>
      <c r="E328" s="217">
        <v>0.12037986225897708</v>
      </c>
      <c r="F328" s="217">
        <v>0.18132783920891454</v>
      </c>
      <c r="G328" s="217">
        <v>0.1991465095991832</v>
      </c>
      <c r="H328" s="217">
        <v>0.20941855290341235</v>
      </c>
      <c r="I328" s="217">
        <v>0.21249425817285406</v>
      </c>
      <c r="J328" s="217">
        <v>0.21942845540684483</v>
      </c>
      <c r="K328" s="217">
        <v>0.22131143155997543</v>
      </c>
      <c r="L328" s="252">
        <v>0.22309601663141013</v>
      </c>
      <c r="M328" s="168">
        <f t="shared" si="149"/>
        <v>0.10228274635251847</v>
      </c>
      <c r="N328" s="170">
        <f t="shared" si="150"/>
        <v>7.4611606516386625E-2</v>
      </c>
      <c r="O328" s="216">
        <v>0</v>
      </c>
      <c r="P328" s="217">
        <v>2.6639599626550804E-2</v>
      </c>
      <c r="Q328" s="217">
        <v>9.5826487855837625E-2</v>
      </c>
      <c r="R328" s="217">
        <v>0.12981212280266891</v>
      </c>
      <c r="S328" s="217">
        <v>0.18692523339730449</v>
      </c>
      <c r="T328" s="217">
        <v>0.20456227884548436</v>
      </c>
      <c r="U328" s="217">
        <v>0.20814667205135226</v>
      </c>
      <c r="V328" s="217">
        <v>0.21631327587113447</v>
      </c>
      <c r="W328" s="217">
        <v>0.21859736701979984</v>
      </c>
      <c r="X328" s="217">
        <v>0.22100771020196083</v>
      </c>
      <c r="Y328" s="252">
        <v>0.22266325568471282</v>
      </c>
      <c r="Z328" s="168">
        <f t="shared" si="151"/>
        <v>6.2242873569556247E-2</v>
      </c>
      <c r="AA328" s="170">
        <f t="shared" si="152"/>
        <v>4.9727178568598894E-2</v>
      </c>
      <c r="AB328" s="795">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0.40428561882065567</v>
      </c>
      <c r="AC328" s="796">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0.44068487064710987</v>
      </c>
      <c r="AD328" s="1069">
        <f t="shared" si="159"/>
        <v>0.41805608223257595</v>
      </c>
      <c r="AE328" s="784">
        <f t="shared" si="156"/>
        <v>0.10228274635251847</v>
      </c>
      <c r="AF328" s="784">
        <f t="shared" si="157"/>
        <v>6.2242873569556247E-2</v>
      </c>
      <c r="AG328" s="784">
        <f t="shared" si="158"/>
        <v>0.16452561992207471</v>
      </c>
      <c r="AH328" s="1015">
        <f t="shared" si="154"/>
        <v>0.62168278959206036</v>
      </c>
      <c r="AI328" s="784">
        <f t="shared" si="155"/>
        <v>0.37831721040793964</v>
      </c>
    </row>
    <row r="329" spans="1:35" ht="13.5" thickBot="1" x14ac:dyDescent="0.25">
      <c r="A329" s="200">
        <v>2050</v>
      </c>
      <c r="B329" s="218">
        <v>0</v>
      </c>
      <c r="C329" s="219">
        <v>1.9234313324152576E-2</v>
      </c>
      <c r="D329" s="219">
        <v>8.6808313694374625E-2</v>
      </c>
      <c r="E329" s="219">
        <v>0.12648982303191386</v>
      </c>
      <c r="F329" s="219">
        <v>0.18562458751734146</v>
      </c>
      <c r="G329" s="219">
        <v>0.20462266128481915</v>
      </c>
      <c r="H329" s="219">
        <v>0.21438371755424457</v>
      </c>
      <c r="I329" s="219">
        <v>0.21727393811466944</v>
      </c>
      <c r="J329" s="219">
        <v>0.22057605896617616</v>
      </c>
      <c r="K329" s="219">
        <v>0.22265147007897648</v>
      </c>
      <c r="L329" s="253">
        <v>0.22605864695967701</v>
      </c>
      <c r="M329" s="182">
        <f t="shared" si="149"/>
        <v>0.10506727811611517</v>
      </c>
      <c r="N329" s="184">
        <f t="shared" si="150"/>
        <v>7.7302024898521282E-2</v>
      </c>
      <c r="O329" s="218">
        <v>0</v>
      </c>
      <c r="P329" s="219">
        <v>3.4993616723095769E-2</v>
      </c>
      <c r="Q329" s="219">
        <v>0.10221094042234419</v>
      </c>
      <c r="R329" s="219">
        <v>0.13663994068991539</v>
      </c>
      <c r="S329" s="219">
        <v>0.19275526858543068</v>
      </c>
      <c r="T329" s="219">
        <v>0.20850924274292562</v>
      </c>
      <c r="U329" s="219">
        <v>0.21322190266088126</v>
      </c>
      <c r="V329" s="219">
        <v>0.22057303621268998</v>
      </c>
      <c r="W329" s="219">
        <v>0.22265147007897648</v>
      </c>
      <c r="X329" s="219">
        <v>0.22465977460926181</v>
      </c>
      <c r="Y329" s="253">
        <v>0.22588034628305195</v>
      </c>
      <c r="Z329" s="182">
        <f t="shared" si="151"/>
        <v>6.4363374473789134E-2</v>
      </c>
      <c r="AA329" s="184">
        <f t="shared" si="152"/>
        <v>5.1992265401084231E-2</v>
      </c>
      <c r="AB329" s="797">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0.41161091111332587</v>
      </c>
      <c r="AC329" s="798">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0.44949980745981849</v>
      </c>
      <c r="AD329" s="1070">
        <f t="shared" si="159"/>
        <v>0.42600415806522485</v>
      </c>
      <c r="AE329" s="784">
        <f t="shared" ref="AE329" si="160">SUMPRODUCT($B$74:$L$74,B329:L329)</f>
        <v>0.10506727811611517</v>
      </c>
      <c r="AF329" s="784">
        <f t="shared" ref="AF329" si="161">SUMPRODUCT($O$74:$Y$74,O329:Y329)</f>
        <v>6.4363374473789134E-2</v>
      </c>
      <c r="AG329" s="784">
        <f t="shared" ref="AG329" si="162">SUM(AE329:AF329)</f>
        <v>0.16943065258990431</v>
      </c>
      <c r="AH329" s="1015">
        <f t="shared" ref="AH329" si="163">IF(AG329&gt;0,AE329/AG329,0)</f>
        <v>0.62011965668587476</v>
      </c>
      <c r="AI329" s="784">
        <f t="shared" ref="AI329" si="164">IF(AG329&gt;0,AF329/AG329,0)</f>
        <v>0.37988034331412524</v>
      </c>
    </row>
    <row r="330" spans="1:35" x14ac:dyDescent="0.2">
      <c r="B330" s="99" t="str">
        <f>B$120</f>
        <v>Output generated: 11/04/2020 14:47</v>
      </c>
      <c r="O330" s="99" t="str">
        <f>O$120</f>
        <v>Output generated: 11/04/2020 14:47</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2"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defaultColWidth="8.42578125" defaultRowHeight="12.75" x14ac:dyDescent="0.2"/>
  <cols>
    <col min="1" max="1" width="6" style="99" customWidth="1"/>
    <col min="2" max="2" width="11.140625" style="99" customWidth="1"/>
    <col min="3" max="3" width="12" style="99" customWidth="1"/>
    <col min="4" max="4" width="13.5703125" style="99" bestFit="1" customWidth="1"/>
    <col min="5" max="5" width="11" style="99" customWidth="1"/>
    <col min="6" max="6" width="13.5703125" style="99" bestFit="1" customWidth="1"/>
    <col min="7" max="7" width="10.85546875" style="99" customWidth="1"/>
    <col min="8" max="8" width="12.140625" style="99" customWidth="1"/>
    <col min="9" max="9" width="11.7109375" style="99" customWidth="1"/>
    <col min="10" max="10" width="9.140625" style="99" customWidth="1"/>
    <col min="11" max="11" width="8.42578125" style="99"/>
    <col min="12" max="12" width="12.28515625" style="99" customWidth="1"/>
    <col min="13" max="13" width="10" style="99" customWidth="1"/>
    <col min="14" max="14" width="11.5703125" style="99" customWidth="1"/>
    <col min="15" max="16" width="11.28515625" style="99" customWidth="1"/>
    <col min="17" max="17" width="10.28515625" style="99" customWidth="1"/>
    <col min="18" max="18" width="10.42578125" style="99" customWidth="1"/>
    <col min="19" max="20" width="9.85546875" style="99" customWidth="1"/>
    <col min="21" max="21" width="10.42578125" style="99" customWidth="1"/>
    <col min="22" max="22" width="8.42578125" style="99"/>
    <col min="23" max="23" width="10" style="99" customWidth="1"/>
    <col min="24" max="24" width="10.7109375" style="99" customWidth="1"/>
    <col min="25" max="25" width="9.7109375" style="99" customWidth="1"/>
    <col min="26" max="26" width="9.85546875" style="99" customWidth="1"/>
    <col min="27" max="27" width="11.28515625" style="99" customWidth="1"/>
    <col min="28" max="28" width="8.42578125" style="99"/>
    <col min="29" max="29" width="12" style="99" customWidth="1"/>
    <col min="30" max="33" width="8.42578125" style="99"/>
    <col min="34" max="34" width="9.42578125" style="99" customWidth="1"/>
    <col min="35" max="39" width="8.42578125" style="195"/>
    <col min="40" max="40" width="9.5703125" style="99" customWidth="1"/>
    <col min="41" max="41" width="9" style="99" customWidth="1"/>
    <col min="42" max="42" width="9.28515625" style="99" customWidth="1"/>
    <col min="43" max="43" width="9.42578125" style="99" customWidth="1"/>
    <col min="44" max="44" width="8.42578125" style="99"/>
    <col min="45" max="46" width="9" style="99" customWidth="1"/>
    <col min="47" max="47" width="8.42578125" style="99"/>
    <col min="48" max="48" width="9" style="99" customWidth="1"/>
    <col min="49" max="54" width="8.42578125" style="99"/>
    <col min="55" max="55" width="9.140625" style="99" bestFit="1" customWidth="1"/>
    <col min="56" max="57" width="8.42578125" style="99"/>
    <col min="58" max="58" width="9.140625" style="99" bestFit="1" customWidth="1"/>
    <col min="59" max="60" width="9.5703125" style="99" bestFit="1" customWidth="1"/>
    <col min="61" max="16384" width="8.42578125" style="99"/>
  </cols>
  <sheetData>
    <row r="1" spans="2:64" ht="15.75" x14ac:dyDescent="0.25">
      <c r="B1" s="53" t="s">
        <v>244</v>
      </c>
      <c r="C1" s="104"/>
      <c r="D1" s="104"/>
      <c r="E1" s="104"/>
      <c r="F1" s="104"/>
      <c r="L1" s="99" t="s">
        <v>204</v>
      </c>
      <c r="AI1" s="99"/>
      <c r="AJ1" s="99"/>
      <c r="AK1" s="99"/>
      <c r="AL1" s="99"/>
      <c r="AM1" s="99"/>
    </row>
    <row r="2" spans="2:64" x14ac:dyDescent="0.2">
      <c r="Y2" s="107"/>
      <c r="AI2" s="99"/>
      <c r="AJ2" s="99"/>
      <c r="AK2" s="99"/>
      <c r="AL2" s="99"/>
      <c r="AM2" s="99"/>
    </row>
    <row r="3" spans="2:64" x14ac:dyDescent="0.2">
      <c r="B3" s="1550" t="s">
        <v>53</v>
      </c>
      <c r="C3" s="1551"/>
      <c r="D3" s="108">
        <v>7.4999999999999997E-2</v>
      </c>
      <c r="F3"/>
      <c r="G3"/>
      <c r="H3"/>
      <c r="L3" s="99" t="s">
        <v>448</v>
      </c>
      <c r="N3" s="99" t="s">
        <v>127</v>
      </c>
      <c r="P3" s="1533" t="s">
        <v>204</v>
      </c>
      <c r="Q3" s="1534"/>
      <c r="R3" s="1534"/>
      <c r="S3" s="1534"/>
      <c r="T3" s="1534"/>
      <c r="U3" s="1535"/>
      <c r="Y3" s="88"/>
      <c r="AI3" s="99"/>
      <c r="AJ3" s="99"/>
      <c r="AK3" s="99"/>
      <c r="AL3" s="99"/>
      <c r="AM3" s="99"/>
    </row>
    <row r="4" spans="2:64" x14ac:dyDescent="0.2">
      <c r="B4" s="1550" t="s">
        <v>104</v>
      </c>
      <c r="C4" s="1551"/>
      <c r="D4" s="97" t="s">
        <v>111</v>
      </c>
      <c r="F4"/>
      <c r="G4"/>
      <c r="H4"/>
      <c r="N4" s="99" t="s">
        <v>126</v>
      </c>
      <c r="P4" s="1547">
        <v>44139.61645833333</v>
      </c>
      <c r="Q4" s="1534"/>
      <c r="R4" s="1534"/>
      <c r="S4" s="1534"/>
      <c r="T4" s="1534"/>
      <c r="U4" s="1535"/>
      <c r="V4" s="99" t="s">
        <v>186</v>
      </c>
      <c r="AI4" s="99"/>
      <c r="AJ4" s="99"/>
      <c r="AK4" s="99"/>
      <c r="AL4" s="99"/>
      <c r="AM4" s="99"/>
    </row>
    <row r="5" spans="2:64" x14ac:dyDescent="0.2">
      <c r="B5" s="1550" t="s">
        <v>118</v>
      </c>
      <c r="C5" s="1551"/>
      <c r="D5" s="97" t="s">
        <v>15</v>
      </c>
      <c r="F5"/>
      <c r="G5"/>
      <c r="H5"/>
      <c r="P5" s="1547">
        <v>44139.616469907407</v>
      </c>
      <c r="Q5" s="1534"/>
      <c r="R5" s="1534"/>
      <c r="S5" s="1534"/>
      <c r="T5" s="1534"/>
      <c r="U5" s="1535"/>
      <c r="V5" s="99" t="s">
        <v>15</v>
      </c>
      <c r="AI5" s="99"/>
      <c r="AJ5" s="99"/>
      <c r="AK5" s="99"/>
      <c r="AL5" s="99"/>
      <c r="AM5" s="99"/>
    </row>
    <row r="6" spans="2:64" x14ac:dyDescent="0.2">
      <c r="B6" s="1550" t="s">
        <v>68</v>
      </c>
      <c r="C6" s="1551"/>
      <c r="D6" s="110">
        <v>225000</v>
      </c>
      <c r="F6"/>
      <c r="G6"/>
      <c r="H6"/>
      <c r="AI6" s="99"/>
      <c r="AJ6" s="99"/>
      <c r="AK6" s="99"/>
      <c r="AL6" s="99"/>
      <c r="AM6" s="99"/>
    </row>
    <row r="7" spans="2:64" ht="6.75" customHeight="1" x14ac:dyDescent="0.2">
      <c r="Y7" s="111"/>
      <c r="AI7" s="99"/>
      <c r="AJ7" s="99"/>
      <c r="AK7" s="99"/>
      <c r="AL7" s="99"/>
      <c r="AM7" s="99"/>
    </row>
    <row r="8" spans="2:64" s="112" customFormat="1" ht="15.75" thickBot="1" x14ac:dyDescent="0.3">
      <c r="B8" s="23" t="s">
        <v>74</v>
      </c>
      <c r="C8" s="99"/>
      <c r="D8" s="99"/>
      <c r="E8" s="99"/>
      <c r="F8" s="99"/>
      <c r="G8" s="99"/>
      <c r="H8" s="99"/>
      <c r="I8" s="99"/>
      <c r="J8" s="99"/>
      <c r="K8" s="99"/>
      <c r="L8" s="99"/>
      <c r="M8" s="99"/>
      <c r="N8" s="99"/>
      <c r="O8" s="99"/>
      <c r="P8" s="99"/>
      <c r="Q8" s="99"/>
      <c r="R8" s="111"/>
      <c r="S8" s="111"/>
      <c r="T8" s="113"/>
      <c r="U8" s="114"/>
      <c r="AJ8" s="388"/>
      <c r="AK8" s="116"/>
      <c r="AL8" s="116"/>
      <c r="AM8" s="116"/>
      <c r="BI8" s="117"/>
      <c r="BJ8" s="117"/>
      <c r="BK8" s="117"/>
      <c r="BL8" s="117"/>
    </row>
    <row r="9" spans="2:64" s="910" customFormat="1" ht="28.5" customHeight="1" x14ac:dyDescent="0.2">
      <c r="B9" s="902"/>
      <c r="C9" s="903"/>
      <c r="D9" s="904"/>
      <c r="E9" s="904"/>
      <c r="F9" s="902"/>
      <c r="G9" s="905"/>
      <c r="H9" s="906"/>
      <c r="I9" s="906"/>
      <c r="J9" s="1521" t="s">
        <v>76</v>
      </c>
      <c r="K9" s="1522"/>
      <c r="L9" s="1567" t="s">
        <v>83</v>
      </c>
      <c r="M9" s="1568"/>
      <c r="N9" s="1567" t="s">
        <v>109</v>
      </c>
      <c r="O9" s="1569"/>
      <c r="P9" s="1569"/>
      <c r="Q9" s="1568"/>
      <c r="R9" s="907"/>
      <c r="S9" s="908"/>
      <c r="T9" s="909"/>
      <c r="AD9" s="911"/>
      <c r="AG9" s="912"/>
      <c r="AH9" s="912"/>
      <c r="AI9" s="912"/>
      <c r="AJ9" s="913"/>
      <c r="BF9" s="914"/>
      <c r="BG9" s="914"/>
      <c r="BH9" s="914"/>
      <c r="BI9" s="914"/>
      <c r="BJ9" s="914"/>
      <c r="BK9" s="914"/>
    </row>
    <row r="10" spans="2:64" s="112" customFormat="1" ht="39" customHeight="1" thickBot="1" x14ac:dyDescent="0.25">
      <c r="B10" s="145"/>
      <c r="C10" s="455" t="s">
        <v>75</v>
      </c>
      <c r="D10" s="438"/>
      <c r="E10" s="438"/>
      <c r="F10" s="578" t="s">
        <v>211</v>
      </c>
      <c r="G10" s="579" t="s">
        <v>210</v>
      </c>
      <c r="H10" s="682" t="s">
        <v>264</v>
      </c>
      <c r="I10" s="588" t="s">
        <v>81</v>
      </c>
      <c r="J10" s="956" t="s">
        <v>280</v>
      </c>
      <c r="K10" s="957" t="s">
        <v>281</v>
      </c>
      <c r="L10" s="419" t="s">
        <v>113</v>
      </c>
      <c r="M10" s="420" t="s">
        <v>84</v>
      </c>
      <c r="N10" s="421" t="s">
        <v>95</v>
      </c>
      <c r="O10" s="420" t="s">
        <v>112</v>
      </c>
      <c r="P10" s="420" t="s">
        <v>120</v>
      </c>
      <c r="Q10" s="422" t="s">
        <v>108</v>
      </c>
      <c r="R10" s="114"/>
      <c r="AD10" s="632"/>
      <c r="AE10" s="388"/>
      <c r="AF10" s="116"/>
      <c r="BD10" s="676"/>
      <c r="BE10" s="117"/>
      <c r="BF10" s="117"/>
      <c r="BG10" s="117"/>
      <c r="BH10" s="117"/>
      <c r="BI10" s="117"/>
    </row>
    <row r="11" spans="2:64" s="112" customFormat="1" x14ac:dyDescent="0.2">
      <c r="B11" s="435" t="s">
        <v>69</v>
      </c>
      <c r="C11" s="429" t="str">
        <f t="shared" ref="C11:C16" si="0">INDEX(TECH_OPT_PARAMS_Cls3,MATCH($B11,TECH_OPT_ROWS_Cls3,0),MATCH(C$10,TECH_OPT_COLS_Cls3,0))</f>
        <v>Conventional Diesel ICE</v>
      </c>
      <c r="D11" s="430"/>
      <c r="E11" s="430"/>
      <c r="F11" s="429" t="str">
        <f t="shared" ref="F11:O16" si="1">INDEX(TECH_OPT_PARAMS_Cls3,MATCH($B11,TECH_OPT_ROWS_Cls3,0),MATCH(F$10,TECH_OPT_COLS_Cls3,0))</f>
        <v>Diesel</v>
      </c>
      <c r="G11" s="576" t="str">
        <f t="shared" si="1"/>
        <v>N/A</v>
      </c>
      <c r="H11" s="732" t="b">
        <f t="shared" si="1"/>
        <v>0</v>
      </c>
      <c r="I11" s="589">
        <f t="shared" si="1"/>
        <v>0</v>
      </c>
      <c r="J11" s="585">
        <f t="shared" si="1"/>
        <v>0</v>
      </c>
      <c r="K11" s="423">
        <f t="shared" si="1"/>
        <v>0</v>
      </c>
      <c r="L11" s="423">
        <f t="shared" si="1"/>
        <v>0</v>
      </c>
      <c r="M11" s="423">
        <f t="shared" si="1"/>
        <v>0</v>
      </c>
      <c r="N11" s="424">
        <f t="shared" si="1"/>
        <v>0</v>
      </c>
      <c r="O11" s="424">
        <f t="shared" si="1"/>
        <v>350</v>
      </c>
      <c r="P11" s="425">
        <f>$D$6*('Inputs 7&amp;8 Day'!$N8/('Inputs 7&amp;8 Day'!$O8*1000))/12</f>
        <v>0</v>
      </c>
      <c r="Q11" s="426"/>
      <c r="R11" s="114"/>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112" customFormat="1" x14ac:dyDescent="0.2">
      <c r="B12" s="436" t="s">
        <v>65</v>
      </c>
      <c r="C12" s="431" t="str">
        <f t="shared" si="0"/>
        <v>Adv Conv</v>
      </c>
      <c r="D12" s="432"/>
      <c r="E12" s="432"/>
      <c r="F12" s="572" t="str">
        <f t="shared" si="1"/>
        <v>Diesel</v>
      </c>
      <c r="G12" s="573" t="str">
        <f t="shared" si="1"/>
        <v>N/A</v>
      </c>
      <c r="H12" s="733" t="b">
        <f t="shared" si="1"/>
        <v>0</v>
      </c>
      <c r="I12" s="590">
        <f t="shared" si="1"/>
        <v>2025</v>
      </c>
      <c r="J12" s="586">
        <f t="shared" si="1"/>
        <v>0</v>
      </c>
      <c r="K12" s="109">
        <f t="shared" si="1"/>
        <v>0.5</v>
      </c>
      <c r="L12" s="109">
        <f t="shared" si="1"/>
        <v>5</v>
      </c>
      <c r="M12" s="109">
        <f t="shared" si="1"/>
        <v>5</v>
      </c>
      <c r="N12" s="109">
        <f t="shared" si="1"/>
        <v>0</v>
      </c>
      <c r="O12" s="109">
        <f t="shared" si="1"/>
        <v>350</v>
      </c>
      <c r="P12" s="130">
        <f>$D$6*('Inputs 7&amp;8 Day'!$N9/('Inputs 7&amp;8 Day'!$O9*1000))/12</f>
        <v>0</v>
      </c>
      <c r="Q12" s="131">
        <f>P$11-P12</f>
        <v>0</v>
      </c>
      <c r="R12" s="13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112" customFormat="1" x14ac:dyDescent="0.2">
      <c r="B13" s="436" t="s">
        <v>66</v>
      </c>
      <c r="C13" s="431" t="str">
        <f t="shared" si="0"/>
        <v>HEV</v>
      </c>
      <c r="D13" s="432"/>
      <c r="E13" s="432"/>
      <c r="F13" s="572" t="str">
        <f t="shared" si="1"/>
        <v>Diesel</v>
      </c>
      <c r="G13" s="573" t="str">
        <f t="shared" si="1"/>
        <v>N/A</v>
      </c>
      <c r="H13" s="733" t="b">
        <f t="shared" si="1"/>
        <v>0</v>
      </c>
      <c r="I13" s="590">
        <f t="shared" si="1"/>
        <v>2025</v>
      </c>
      <c r="J13" s="586">
        <f t="shared" si="1"/>
        <v>0</v>
      </c>
      <c r="K13" s="109">
        <f t="shared" si="1"/>
        <v>0.5</v>
      </c>
      <c r="L13" s="109">
        <f t="shared" si="1"/>
        <v>5</v>
      </c>
      <c r="M13" s="109">
        <f t="shared" si="1"/>
        <v>5</v>
      </c>
      <c r="N13" s="109">
        <f t="shared" si="1"/>
        <v>0</v>
      </c>
      <c r="O13" s="109">
        <f t="shared" si="1"/>
        <v>350</v>
      </c>
      <c r="P13" s="130">
        <f>$D$6*('Inputs 7&amp;8 Day'!$N10/('Inputs 7&amp;8 Day'!$O10*1000))/12</f>
        <v>0</v>
      </c>
      <c r="Q13" s="131">
        <f>P$11-P13</f>
        <v>0</v>
      </c>
      <c r="R13" s="132"/>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112" customFormat="1" x14ac:dyDescent="0.2">
      <c r="B14" s="436" t="s">
        <v>67</v>
      </c>
      <c r="C14" s="431" t="str">
        <f t="shared" si="0"/>
        <v>BEV</v>
      </c>
      <c r="D14" s="432"/>
      <c r="E14" s="432"/>
      <c r="F14" s="572" t="str">
        <f t="shared" si="1"/>
        <v>Electricity</v>
      </c>
      <c r="G14" s="573" t="str">
        <f t="shared" si="1"/>
        <v>N/A</v>
      </c>
      <c r="H14" s="733" t="b">
        <f t="shared" si="1"/>
        <v>1</v>
      </c>
      <c r="I14" s="590">
        <f t="shared" si="1"/>
        <v>2025</v>
      </c>
      <c r="J14" s="586">
        <f t="shared" si="1"/>
        <v>0</v>
      </c>
      <c r="K14" s="109">
        <f t="shared" si="1"/>
        <v>0.5</v>
      </c>
      <c r="L14" s="109">
        <f t="shared" si="1"/>
        <v>5</v>
      </c>
      <c r="M14" s="109">
        <f t="shared" si="1"/>
        <v>5</v>
      </c>
      <c r="N14" s="109">
        <f t="shared" si="1"/>
        <v>0</v>
      </c>
      <c r="O14" s="109">
        <f t="shared" si="1"/>
        <v>350</v>
      </c>
      <c r="P14" s="556">
        <f>$D$6*('Inputs 7&amp;8 Day'!$N11/('Inputs 7&amp;8 Day'!$O11*1000))/12</f>
        <v>0</v>
      </c>
      <c r="Q14" s="557">
        <f t="shared" ref="Q14:Q16" si="2">P$11-P14</f>
        <v>0</v>
      </c>
      <c r="R14" s="132"/>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112" customFormat="1" x14ac:dyDescent="0.2">
      <c r="B15" s="436" t="s">
        <v>205</v>
      </c>
      <c r="C15" s="433" t="str">
        <f t="shared" si="0"/>
        <v>FCEV</v>
      </c>
      <c r="D15" s="434"/>
      <c r="E15" s="434"/>
      <c r="F15" s="574" t="str">
        <f t="shared" si="1"/>
        <v>Hydrogen</v>
      </c>
      <c r="G15" s="575" t="str">
        <f t="shared" si="1"/>
        <v>N/A</v>
      </c>
      <c r="H15" s="733" t="b">
        <f t="shared" si="1"/>
        <v>0</v>
      </c>
      <c r="I15" s="590">
        <f t="shared" si="1"/>
        <v>2025</v>
      </c>
      <c r="J15" s="586">
        <f t="shared" si="1"/>
        <v>0</v>
      </c>
      <c r="K15" s="109">
        <f t="shared" si="1"/>
        <v>0.5</v>
      </c>
      <c r="L15" s="109">
        <f t="shared" si="1"/>
        <v>5</v>
      </c>
      <c r="M15" s="109">
        <f t="shared" si="1"/>
        <v>5</v>
      </c>
      <c r="N15" s="109">
        <f t="shared" si="1"/>
        <v>0</v>
      </c>
      <c r="O15" s="109">
        <f t="shared" si="1"/>
        <v>350</v>
      </c>
      <c r="P15" s="556">
        <f>$D$6*('Inputs 7&amp;8 Day'!$N12/('Inputs 7&amp;8 Day'!$O12*1000))/12</f>
        <v>0</v>
      </c>
      <c r="Q15" s="557">
        <f t="shared" si="2"/>
        <v>0</v>
      </c>
      <c r="R15" s="132"/>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112" customFormat="1" ht="13.5" thickBot="1" x14ac:dyDescent="0.25">
      <c r="B16" s="437" t="s">
        <v>206</v>
      </c>
      <c r="C16" s="427" t="str">
        <f t="shared" si="0"/>
        <v>PHEV</v>
      </c>
      <c r="D16" s="428"/>
      <c r="E16" s="428"/>
      <c r="F16" s="135" t="str">
        <f t="shared" si="1"/>
        <v>Diesel</v>
      </c>
      <c r="G16" s="134" t="str">
        <f t="shared" si="1"/>
        <v>Electricity</v>
      </c>
      <c r="H16" s="734" t="b">
        <f t="shared" si="1"/>
        <v>0</v>
      </c>
      <c r="I16" s="591">
        <f t="shared" si="1"/>
        <v>2025</v>
      </c>
      <c r="J16" s="587">
        <f t="shared" si="1"/>
        <v>0</v>
      </c>
      <c r="K16" s="136">
        <f t="shared" si="1"/>
        <v>0.5</v>
      </c>
      <c r="L16" s="136">
        <f t="shared" si="1"/>
        <v>5</v>
      </c>
      <c r="M16" s="136">
        <f t="shared" si="1"/>
        <v>5</v>
      </c>
      <c r="N16" s="136">
        <f t="shared" si="1"/>
        <v>0</v>
      </c>
      <c r="O16" s="136">
        <f t="shared" si="1"/>
        <v>350</v>
      </c>
      <c r="P16" s="558">
        <f>$D$6*('Inputs 7&amp;8 Day'!$N13/('Inputs 7&amp;8 Day'!$O13*1000))/12</f>
        <v>0</v>
      </c>
      <c r="Q16" s="559">
        <f t="shared" si="2"/>
        <v>0</v>
      </c>
      <c r="R16" s="132"/>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112" customFormat="1" x14ac:dyDescent="0.2">
      <c r="B17" s="139"/>
      <c r="C17" s="139"/>
      <c r="D17" s="139"/>
      <c r="E17" s="116"/>
      <c r="F17" s="116"/>
      <c r="G17" s="116"/>
      <c r="H17" s="116"/>
      <c r="I17" s="111"/>
      <c r="J17" s="111"/>
      <c r="K17" s="114"/>
      <c r="L17" s="114"/>
      <c r="M17" s="111"/>
      <c r="N17" s="111"/>
      <c r="O17" s="140"/>
      <c r="P17" s="113"/>
      <c r="Q17" s="111"/>
      <c r="R17" s="111"/>
      <c r="S17" s="111"/>
      <c r="T17" s="111"/>
      <c r="U17" s="140"/>
      <c r="V17" s="113"/>
      <c r="W17" s="113"/>
      <c r="Y17"/>
      <c r="Z17"/>
      <c r="AA17"/>
      <c r="AB17"/>
      <c r="AC17"/>
      <c r="AD17"/>
      <c r="AE17"/>
      <c r="AF17"/>
      <c r="AG17"/>
      <c r="AH17"/>
      <c r="AI17"/>
      <c r="AJ17"/>
      <c r="AK17"/>
      <c r="AL17"/>
      <c r="AM17"/>
      <c r="AN17" s="640" t="s">
        <v>78</v>
      </c>
      <c r="AO17" s="644">
        <v>2</v>
      </c>
      <c r="AP17" s="641" t="s">
        <v>101</v>
      </c>
      <c r="AQ17" s="644">
        <v>1</v>
      </c>
      <c r="AR17" s="636"/>
      <c r="AS17" s="634" t="s">
        <v>233</v>
      </c>
      <c r="AT17" s="647"/>
      <c r="AU17" s="647"/>
      <c r="AV17" s="646"/>
      <c r="AW17" s="636"/>
      <c r="AX17" s="634"/>
      <c r="AY17" s="635"/>
      <c r="AZ17" s="635"/>
      <c r="BA17" s="635"/>
      <c r="BB17"/>
      <c r="BC17"/>
      <c r="BD17"/>
      <c r="BE17"/>
      <c r="BF17"/>
      <c r="BG17"/>
      <c r="BH17"/>
    </row>
    <row r="18" spans="1:60" ht="13.5" thickBot="1" x14ac:dyDescent="0.25">
      <c r="B18" s="101"/>
      <c r="D18" s="141"/>
      <c r="T18" s="142"/>
      <c r="Y18"/>
      <c r="Z18"/>
      <c r="AA18"/>
      <c r="AB18"/>
      <c r="AC18"/>
      <c r="AD18"/>
      <c r="AE18"/>
      <c r="AF18"/>
      <c r="AG18"/>
      <c r="AH18"/>
      <c r="AI18"/>
      <c r="AJ18"/>
      <c r="AK18"/>
      <c r="AL18"/>
      <c r="AM18"/>
      <c r="AN18" s="642" t="s">
        <v>79</v>
      </c>
      <c r="AO18" s="645">
        <v>0.6</v>
      </c>
      <c r="AP18" s="643"/>
      <c r="AQ18" s="643"/>
      <c r="AR18" s="639"/>
      <c r="AS18" s="649" t="s">
        <v>105</v>
      </c>
      <c r="AT18" s="650"/>
      <c r="AU18" s="651">
        <v>4</v>
      </c>
      <c r="AV18" s="650" t="s">
        <v>111</v>
      </c>
      <c r="AW18" s="639"/>
      <c r="AX18" s="637"/>
      <c r="AY18" s="648"/>
      <c r="AZ18" s="638"/>
      <c r="BA18" s="638"/>
      <c r="BB18"/>
      <c r="BC18"/>
      <c r="BD18"/>
      <c r="BE18"/>
      <c r="BF18"/>
      <c r="BG18"/>
      <c r="BH18"/>
    </row>
    <row r="19" spans="1:60" s="29" customFormat="1" ht="15.75" thickBot="1" x14ac:dyDescent="0.3">
      <c r="A19" s="652"/>
      <c r="B19" s="1544" t="s">
        <v>234</v>
      </c>
      <c r="C19" s="1545"/>
      <c r="D19" s="1545"/>
      <c r="E19" s="1545"/>
      <c r="F19" s="1545"/>
      <c r="G19" s="1546"/>
      <c r="H19" s="1544" t="s">
        <v>220</v>
      </c>
      <c r="I19" s="1545"/>
      <c r="J19" s="1545"/>
      <c r="K19" s="1545"/>
      <c r="L19" s="1545"/>
      <c r="M19" s="1546"/>
      <c r="N19" s="1545" t="s">
        <v>71</v>
      </c>
      <c r="O19" s="1545"/>
      <c r="P19" s="1545"/>
      <c r="Q19" s="1545"/>
      <c r="R19" s="1545"/>
      <c r="S19" s="1546"/>
      <c r="T19" s="1544" t="s">
        <v>107</v>
      </c>
      <c r="U19" s="1545"/>
      <c r="V19" s="1545"/>
      <c r="W19" s="1545"/>
      <c r="X19" s="1546"/>
      <c r="Y19" s="1544" t="s">
        <v>72</v>
      </c>
      <c r="Z19" s="1545"/>
      <c r="AA19" s="1545"/>
      <c r="AB19" s="1545"/>
      <c r="AC19" s="1546"/>
      <c r="AD19" s="1544" t="s">
        <v>92</v>
      </c>
      <c r="AE19" s="1545"/>
      <c r="AF19" s="1545"/>
      <c r="AG19" s="1545"/>
      <c r="AH19" s="1546"/>
      <c r="AI19" s="1544" t="s">
        <v>76</v>
      </c>
      <c r="AJ19" s="1545"/>
      <c r="AK19" s="1545"/>
      <c r="AL19" s="1545"/>
      <c r="AM19" s="1546"/>
      <c r="AN19" s="1544" t="s">
        <v>100</v>
      </c>
      <c r="AO19" s="1545"/>
      <c r="AP19" s="1545"/>
      <c r="AQ19" s="1545"/>
      <c r="AR19" s="1546"/>
      <c r="AS19" s="1544" t="s">
        <v>73</v>
      </c>
      <c r="AT19" s="1545"/>
      <c r="AU19" s="1545"/>
      <c r="AV19" s="1545"/>
      <c r="AW19" s="1546"/>
      <c r="AX19" s="1544" t="s">
        <v>102</v>
      </c>
      <c r="AY19" s="1545"/>
      <c r="AZ19" s="1545"/>
      <c r="BA19" s="1545"/>
      <c r="BB19" s="1546"/>
      <c r="BC19" s="1544" t="s">
        <v>82</v>
      </c>
      <c r="BD19" s="1545"/>
      <c r="BE19" s="1545"/>
      <c r="BF19" s="1545"/>
      <c r="BG19" s="1545"/>
      <c r="BH19" s="1546"/>
    </row>
    <row r="20" spans="1:60" ht="15" customHeight="1" x14ac:dyDescent="0.2">
      <c r="A20" s="144"/>
      <c r="B20" s="880" t="s">
        <v>69</v>
      </c>
      <c r="C20" s="881" t="s">
        <v>65</v>
      </c>
      <c r="D20" s="881" t="s">
        <v>66</v>
      </c>
      <c r="E20" s="881" t="s">
        <v>67</v>
      </c>
      <c r="F20" s="881" t="s">
        <v>205</v>
      </c>
      <c r="G20" s="927" t="s">
        <v>206</v>
      </c>
      <c r="H20" s="880" t="s">
        <v>69</v>
      </c>
      <c r="I20" s="881" t="s">
        <v>65</v>
      </c>
      <c r="J20" s="881" t="s">
        <v>66</v>
      </c>
      <c r="K20" s="881" t="s">
        <v>67</v>
      </c>
      <c r="L20" s="881" t="s">
        <v>205</v>
      </c>
      <c r="M20" s="927" t="s">
        <v>206</v>
      </c>
      <c r="N20" s="880" t="s">
        <v>69</v>
      </c>
      <c r="O20" s="881" t="s">
        <v>65</v>
      </c>
      <c r="P20" s="881" t="s">
        <v>66</v>
      </c>
      <c r="Q20" s="881" t="s">
        <v>67</v>
      </c>
      <c r="R20" s="881" t="s">
        <v>205</v>
      </c>
      <c r="S20" s="927" t="s">
        <v>206</v>
      </c>
      <c r="T20" s="886" t="s">
        <v>65</v>
      </c>
      <c r="U20" s="887" t="s">
        <v>66</v>
      </c>
      <c r="V20" s="887" t="s">
        <v>67</v>
      </c>
      <c r="W20" s="881" t="s">
        <v>205</v>
      </c>
      <c r="X20" s="927" t="s">
        <v>206</v>
      </c>
      <c r="Y20" s="886" t="s">
        <v>65</v>
      </c>
      <c r="Z20" s="887" t="s">
        <v>66</v>
      </c>
      <c r="AA20" s="887" t="s">
        <v>67</v>
      </c>
      <c r="AB20" s="881" t="s">
        <v>205</v>
      </c>
      <c r="AC20" s="927" t="s">
        <v>206</v>
      </c>
      <c r="AD20" s="886" t="s">
        <v>65</v>
      </c>
      <c r="AE20" s="887" t="s">
        <v>66</v>
      </c>
      <c r="AF20" s="887" t="s">
        <v>67</v>
      </c>
      <c r="AG20" s="881" t="s">
        <v>205</v>
      </c>
      <c r="AH20" s="927" t="s">
        <v>206</v>
      </c>
      <c r="AI20" s="886" t="s">
        <v>65</v>
      </c>
      <c r="AJ20" s="887" t="s">
        <v>66</v>
      </c>
      <c r="AK20" s="887" t="s">
        <v>67</v>
      </c>
      <c r="AL20" s="881" t="s">
        <v>205</v>
      </c>
      <c r="AM20" s="927" t="s">
        <v>206</v>
      </c>
      <c r="AN20" s="886" t="s">
        <v>65</v>
      </c>
      <c r="AO20" s="887" t="s">
        <v>66</v>
      </c>
      <c r="AP20" s="887" t="s">
        <v>67</v>
      </c>
      <c r="AQ20" s="881" t="s">
        <v>205</v>
      </c>
      <c r="AR20" s="927" t="s">
        <v>206</v>
      </c>
      <c r="AS20" s="886" t="s">
        <v>65</v>
      </c>
      <c r="AT20" s="887" t="s">
        <v>66</v>
      </c>
      <c r="AU20" s="887" t="s">
        <v>67</v>
      </c>
      <c r="AV20" s="881" t="s">
        <v>205</v>
      </c>
      <c r="AW20" s="927" t="s">
        <v>206</v>
      </c>
      <c r="AX20" s="886" t="s">
        <v>65</v>
      </c>
      <c r="AY20" s="887" t="s">
        <v>66</v>
      </c>
      <c r="AZ20" s="887" t="s">
        <v>67</v>
      </c>
      <c r="BA20" s="881" t="s">
        <v>205</v>
      </c>
      <c r="BB20" s="927" t="s">
        <v>206</v>
      </c>
      <c r="BC20" s="886" t="s">
        <v>69</v>
      </c>
      <c r="BD20" s="887" t="s">
        <v>65</v>
      </c>
      <c r="BE20" s="887" t="s">
        <v>66</v>
      </c>
      <c r="BF20" s="887" t="s">
        <v>67</v>
      </c>
      <c r="BG20" s="881" t="s">
        <v>205</v>
      </c>
      <c r="BH20" s="927" t="s">
        <v>206</v>
      </c>
    </row>
    <row r="21" spans="1:60" s="106" customFormat="1" x14ac:dyDescent="0.2">
      <c r="A21" s="614"/>
      <c r="B21" s="915"/>
      <c r="C21" s="916"/>
      <c r="D21" s="916"/>
      <c r="E21" s="916"/>
      <c r="F21" s="916"/>
      <c r="G21" s="917"/>
      <c r="H21" s="836" t="str">
        <f>IF(INDEX($G$11:$G$16,MATCH(H20,$B$11:$B$16,0))="N/A","Single-fuel","Dual-Fuel")</f>
        <v>Single-fuel</v>
      </c>
      <c r="I21" s="837" t="str">
        <f t="shared" ref="I21:M21" si="3">IF(INDEX($G$11:$G$16,MATCH(I20,$B$11:$B$16,0))="N/A","Single-fuel","Dual-Fuel")</f>
        <v>Single-fuel</v>
      </c>
      <c r="J21" s="837" t="str">
        <f t="shared" si="3"/>
        <v>Single-fuel</v>
      </c>
      <c r="K21" s="837" t="str">
        <f t="shared" si="3"/>
        <v>Single-fuel</v>
      </c>
      <c r="L21" s="837" t="str">
        <f t="shared" si="3"/>
        <v>Single-fuel</v>
      </c>
      <c r="M21" s="838" t="str">
        <f t="shared" si="3"/>
        <v>Dual-Fuel</v>
      </c>
      <c r="N21" s="836" t="str">
        <f>INDEX($F$11:$F$16,MATCH(N20,$B$11:$B$16,0))</f>
        <v>Diesel</v>
      </c>
      <c r="O21" s="837" t="str">
        <f t="shared" ref="O21:S21" si="4">INDEX($F$11:$F$16,MATCH(O20,$B$11:$B$16,0))</f>
        <v>Diesel</v>
      </c>
      <c r="P21" s="837" t="str">
        <f t="shared" si="4"/>
        <v>Diesel</v>
      </c>
      <c r="Q21" s="837" t="str">
        <f t="shared" si="4"/>
        <v>Electricity</v>
      </c>
      <c r="R21" s="837" t="str">
        <f t="shared" si="4"/>
        <v>Hydrogen</v>
      </c>
      <c r="S21" s="838" t="str">
        <f t="shared" si="4"/>
        <v>Diesel</v>
      </c>
      <c r="T21" s="1555" t="s">
        <v>117</v>
      </c>
      <c r="U21" s="1556"/>
      <c r="V21" s="1556"/>
      <c r="W21" s="1556"/>
      <c r="X21" s="1557"/>
      <c r="Y21" s="836" t="str">
        <f t="shared" ref="Y21" si="5">INDEX($F$11:$F$16,MATCH(Y20,$B$11:$B$16,0))</f>
        <v>Diesel</v>
      </c>
      <c r="Z21" s="837" t="str">
        <f t="shared" ref="Z21" si="6">INDEX($F$11:$F$16,MATCH(Z20,$B$11:$B$16,0))</f>
        <v>Diesel</v>
      </c>
      <c r="AA21" s="837" t="str">
        <f t="shared" ref="AA21" si="7">INDEX($F$11:$F$16,MATCH(AA20,$B$11:$B$16,0))</f>
        <v>Electricity</v>
      </c>
      <c r="AB21" s="837" t="str">
        <f t="shared" ref="AB21" si="8">INDEX($F$11:$F$16,MATCH(AB20,$B$11:$B$16,0))</f>
        <v>Hydrogen</v>
      </c>
      <c r="AC21" s="838" t="str">
        <f t="shared" ref="AC21" si="9">INDEX($F$11:$F$16,MATCH(AC20,$B$11:$B$16,0))</f>
        <v>Diesel</v>
      </c>
      <c r="AD21" s="859">
        <f>INDEX($L$11:$L$16,MATCH(AD20,$B$11:$B$16,0))</f>
        <v>5</v>
      </c>
      <c r="AE21" s="860">
        <f>INDEX($L$11:$L$16,MATCH(AE20,$B$11:$B$16,0))</f>
        <v>5</v>
      </c>
      <c r="AF21" s="860">
        <f>INDEX($L$11:$L$16,MATCH(AF20,$B$11:$B$16,0))</f>
        <v>5</v>
      </c>
      <c r="AG21" s="860">
        <f>INDEX($L$11:$L$16,MATCH(AG20,$B$11:$B$16,0))</f>
        <v>5</v>
      </c>
      <c r="AH21" s="861">
        <f>INDEX($L$11:$L$16,MATCH(AH20,$B$11:$B$16,0))</f>
        <v>5</v>
      </c>
      <c r="AI21" s="895">
        <f>INDEX($J$11:$J$16,MATCH(AI20,$B$11:$B$16,0))</f>
        <v>0</v>
      </c>
      <c r="AJ21" s="896">
        <f t="shared" ref="AJ21:AM21" si="10">INDEX($J$11:$J$16,MATCH(AJ20,$B$11:$B$16,0))</f>
        <v>0</v>
      </c>
      <c r="AK21" s="896">
        <f t="shared" si="10"/>
        <v>0</v>
      </c>
      <c r="AL21" s="896">
        <f t="shared" si="10"/>
        <v>0</v>
      </c>
      <c r="AM21" s="897">
        <f t="shared" si="10"/>
        <v>0</v>
      </c>
      <c r="AN21" s="836" t="str">
        <f t="shared" ref="AN21" si="11">INDEX($F$11:$F$16,MATCH(AN20,$B$11:$B$16,0))</f>
        <v>Diesel</v>
      </c>
      <c r="AO21" s="837" t="str">
        <f t="shared" ref="AO21" si="12">INDEX($F$11:$F$16,MATCH(AO20,$B$11:$B$16,0))</f>
        <v>Diesel</v>
      </c>
      <c r="AP21" s="837" t="str">
        <f t="shared" ref="AP21" si="13">INDEX($F$11:$F$16,MATCH(AP20,$B$11:$B$16,0))</f>
        <v>Electricity</v>
      </c>
      <c r="AQ21" s="837" t="str">
        <f t="shared" ref="AQ21" si="14">INDEX($F$11:$F$16,MATCH(AQ20,$B$11:$B$16,0))</f>
        <v>Hydrogen</v>
      </c>
      <c r="AR21" s="838" t="str">
        <f t="shared" ref="AR21" si="15">INDEX($F$11:$F$16,MATCH(AR20,$B$11:$B$16,0))</f>
        <v>Diesel</v>
      </c>
      <c r="AS21" s="836" t="str">
        <f t="shared" ref="AS21" si="16">INDEX($F$11:$F$16,MATCH(AS20,$B$11:$B$16,0))</f>
        <v>Diesel</v>
      </c>
      <c r="AT21" s="837" t="str">
        <f t="shared" ref="AT21" si="17">INDEX($F$11:$F$16,MATCH(AT20,$B$11:$B$16,0))</f>
        <v>Diesel</v>
      </c>
      <c r="AU21" s="837" t="str">
        <f t="shared" ref="AU21" si="18">INDEX($F$11:$F$16,MATCH(AU20,$B$11:$B$16,0))</f>
        <v>Electricity</v>
      </c>
      <c r="AV21" s="837" t="str">
        <f t="shared" ref="AV21" si="19">INDEX($F$11:$F$16,MATCH(AV20,$B$11:$B$16,0))</f>
        <v>Hydrogen</v>
      </c>
      <c r="AW21" s="838" t="str">
        <f t="shared" ref="AW21" si="20">INDEX($F$11:$F$16,MATCH(AW20,$B$11:$B$16,0))</f>
        <v>Diesel</v>
      </c>
      <c r="AX21" s="836" t="str">
        <f t="shared" ref="AX21" si="21">INDEX($F$11:$F$16,MATCH(AX20,$B$11:$B$16,0))</f>
        <v>Diesel</v>
      </c>
      <c r="AY21" s="837" t="str">
        <f t="shared" ref="AY21" si="22">INDEX($F$11:$F$16,MATCH(AY20,$B$11:$B$16,0))</f>
        <v>Diesel</v>
      </c>
      <c r="AZ21" s="837" t="str">
        <f t="shared" ref="AZ21" si="23">INDEX($F$11:$F$16,MATCH(AZ20,$B$11:$B$16,0))</f>
        <v>Electricity</v>
      </c>
      <c r="BA21" s="837" t="str">
        <f t="shared" ref="BA21" si="24">INDEX($F$11:$F$16,MATCH(BA20,$B$11:$B$16,0))</f>
        <v>Hydrogen</v>
      </c>
      <c r="BB21" s="838" t="str">
        <f t="shared" ref="BB21" si="25">INDEX($F$11:$F$16,MATCH(BB20,$B$11:$B$16,0))</f>
        <v>Diesel</v>
      </c>
      <c r="BC21" s="869" t="str">
        <f>INDEX($F$11:$F$16,MATCH(BC20,$B$11:$B$16,0))</f>
        <v>Diesel</v>
      </c>
      <c r="BD21" s="837" t="str">
        <f t="shared" ref="BD21:BH21" si="26">INDEX($F$11:$F$16,MATCH(BD20,$B$11:$B$16,0))</f>
        <v>Diesel</v>
      </c>
      <c r="BE21" s="837" t="str">
        <f t="shared" si="26"/>
        <v>Diesel</v>
      </c>
      <c r="BF21" s="837" t="str">
        <f t="shared" si="26"/>
        <v>Electricity</v>
      </c>
      <c r="BG21" s="837" t="str">
        <f t="shared" si="26"/>
        <v>Hydrogen</v>
      </c>
      <c r="BH21" s="838" t="str">
        <f t="shared" si="26"/>
        <v>Diesel</v>
      </c>
    </row>
    <row r="22" spans="1:60" x14ac:dyDescent="0.2">
      <c r="A22" s="614"/>
      <c r="B22" s="915"/>
      <c r="C22" s="916"/>
      <c r="D22" s="916"/>
      <c r="E22" s="916"/>
      <c r="F22" s="916"/>
      <c r="G22" s="917"/>
      <c r="H22" s="921"/>
      <c r="I22" s="922"/>
      <c r="J22" s="922"/>
      <c r="K22" s="922"/>
      <c r="L22" s="922"/>
      <c r="M22" s="923"/>
      <c r="N22" s="839"/>
      <c r="O22" s="840"/>
      <c r="P22" s="840"/>
      <c r="Q22" s="840"/>
      <c r="R22" s="840"/>
      <c r="S22" s="841"/>
      <c r="T22" s="845">
        <f>Q12</f>
        <v>0</v>
      </c>
      <c r="U22" s="846">
        <f>Q13</f>
        <v>0</v>
      </c>
      <c r="V22" s="846">
        <f>Q14</f>
        <v>0</v>
      </c>
      <c r="W22" s="846">
        <f>Q15</f>
        <v>0</v>
      </c>
      <c r="X22" s="847">
        <f>Q16</f>
        <v>0</v>
      </c>
      <c r="Y22" s="836" t="b">
        <f>INDEX($H$11:$H$16,MATCH(Y20,$B$11:$B$16,0))</f>
        <v>0</v>
      </c>
      <c r="Z22" s="854" t="b">
        <f t="shared" ref="Z22:AC22" si="27">INDEX($H$11:$H$16,MATCH(Z20,$B$11:$B$16,0))</f>
        <v>0</v>
      </c>
      <c r="AA22" s="854" t="b">
        <f t="shared" si="27"/>
        <v>1</v>
      </c>
      <c r="AB22" s="854" t="b">
        <f t="shared" si="27"/>
        <v>0</v>
      </c>
      <c r="AC22" s="855" t="b">
        <f t="shared" si="27"/>
        <v>0</v>
      </c>
      <c r="AD22" s="859">
        <f>INDEX($M$11:$M$16,MATCH(AD20,$B$11:$B$16,0))</f>
        <v>5</v>
      </c>
      <c r="AE22" s="862">
        <f>INDEX($M$11:$M$16,MATCH(AE20,$B$11:$B$16,0))</f>
        <v>5</v>
      </c>
      <c r="AF22" s="862">
        <f>INDEX($M$11:$M$16,MATCH(AF20,$B$11:$B$16,0))</f>
        <v>5</v>
      </c>
      <c r="AG22" s="862">
        <f>INDEX($M$11:$M$16,MATCH(AG20,$B$11:$B$16,0))</f>
        <v>5</v>
      </c>
      <c r="AH22" s="863">
        <f>INDEX($M$11:$M$16,MATCH(AH20,$B$11:$B$16,0))</f>
        <v>5</v>
      </c>
      <c r="AI22" s="895">
        <f>INDEX($K$11:$K$16,MATCH(AI20,$B$11:$B$16,0))</f>
        <v>0.5</v>
      </c>
      <c r="AJ22" s="896">
        <f t="shared" ref="AJ22:AM22" si="28">INDEX($K$11:$K$16,MATCH(AJ20,$B$11:$B$16,0))</f>
        <v>0.5</v>
      </c>
      <c r="AK22" s="896">
        <f t="shared" si="28"/>
        <v>0.5</v>
      </c>
      <c r="AL22" s="896">
        <f t="shared" si="28"/>
        <v>0.5</v>
      </c>
      <c r="AM22" s="897">
        <f t="shared" si="28"/>
        <v>0.5</v>
      </c>
      <c r="AN22" s="836"/>
      <c r="AO22" s="837"/>
      <c r="AP22" s="837"/>
      <c r="AQ22" s="837"/>
      <c r="AR22" s="838"/>
      <c r="AS22" s="853"/>
      <c r="AT22" s="854"/>
      <c r="AU22" s="854"/>
      <c r="AV22" s="854"/>
      <c r="AW22" s="855"/>
      <c r="AX22" s="853"/>
      <c r="AY22" s="854"/>
      <c r="AZ22" s="854"/>
      <c r="BA22" s="854"/>
      <c r="BB22" s="855"/>
      <c r="BC22" s="853"/>
      <c r="BD22" s="854"/>
      <c r="BE22" s="854"/>
      <c r="BF22" s="854"/>
      <c r="BG22" s="854"/>
      <c r="BH22" s="855"/>
    </row>
    <row r="23" spans="1:60" ht="13.5" thickBot="1" x14ac:dyDescent="0.25">
      <c r="A23" s="593"/>
      <c r="B23" s="918"/>
      <c r="C23" s="919"/>
      <c r="D23" s="919"/>
      <c r="E23" s="919"/>
      <c r="F23" s="919"/>
      <c r="G23" s="920"/>
      <c r="H23" s="924"/>
      <c r="I23" s="925"/>
      <c r="J23" s="925"/>
      <c r="K23" s="925"/>
      <c r="L23" s="925"/>
      <c r="M23" s="926"/>
      <c r="N23" s="842"/>
      <c r="O23" s="843"/>
      <c r="P23" s="843"/>
      <c r="Q23" s="843"/>
      <c r="R23" s="843"/>
      <c r="S23" s="844"/>
      <c r="T23" s="848"/>
      <c r="U23" s="849"/>
      <c r="V23" s="849"/>
      <c r="W23" s="849"/>
      <c r="X23" s="850"/>
      <c r="Y23" s="864"/>
      <c r="Z23" s="867"/>
      <c r="AA23" s="867"/>
      <c r="AB23" s="867"/>
      <c r="AC23" s="868"/>
      <c r="AD23" s="864"/>
      <c r="AE23" s="865"/>
      <c r="AF23" s="865"/>
      <c r="AG23" s="865"/>
      <c r="AH23" s="866"/>
      <c r="AI23" s="864">
        <f>INDEX($I$11:$I$16,MATCH(AI20,$B$11:$B$16,0))</f>
        <v>2025</v>
      </c>
      <c r="AJ23" s="867">
        <f t="shared" ref="AJ23:AM23" si="29">INDEX($I$11:$I$16,MATCH(AJ20,$B$11:$B$16,0))</f>
        <v>2025</v>
      </c>
      <c r="AK23" s="867">
        <f t="shared" si="29"/>
        <v>2025</v>
      </c>
      <c r="AL23" s="867">
        <f t="shared" si="29"/>
        <v>2025</v>
      </c>
      <c r="AM23" s="868">
        <f t="shared" si="29"/>
        <v>2025</v>
      </c>
      <c r="AN23" s="864"/>
      <c r="AO23" s="867"/>
      <c r="AP23" s="867"/>
      <c r="AQ23" s="867"/>
      <c r="AR23" s="868"/>
      <c r="AS23" s="856"/>
      <c r="AT23" s="857"/>
      <c r="AU23" s="857"/>
      <c r="AV23" s="857"/>
      <c r="AW23" s="858"/>
      <c r="AX23" s="856"/>
      <c r="AY23" s="857"/>
      <c r="AZ23" s="857"/>
      <c r="BA23" s="857"/>
      <c r="BB23" s="858"/>
      <c r="BC23" s="856"/>
      <c r="BD23" s="857"/>
      <c r="BE23" s="857"/>
      <c r="BF23" s="857"/>
      <c r="BG23" s="857"/>
      <c r="BH23" s="858"/>
    </row>
    <row r="24" spans="1:60" ht="13.5" thickTop="1" x14ac:dyDescent="0.2">
      <c r="A24" s="456">
        <v>2007</v>
      </c>
      <c r="B24" s="656" cm="1">
        <f t="array" ref="B24">ROUND(INDEX(COST_Cls3,$A24-($A$24-1),MATCH(B$20,TECHOPTS_Cls3,0)),2)</f>
        <v>81898</v>
      </c>
      <c r="C24" s="656" cm="1">
        <f t="array" ref="C24">ROUND(INDEX(COST_Cls3,$A24-($A$24-1),MATCH(C$20,TECHOPTS_Cls3,0)),2)</f>
        <v>1000000</v>
      </c>
      <c r="D24" s="656" cm="1">
        <f t="array" ref="D24">ROUND(INDEX(COST_Cls3,$A24-($A$24-1),MATCH(D$20,TECHOPTS_Cls3,0)),2)</f>
        <v>1000000</v>
      </c>
      <c r="E24" s="656" cm="1">
        <f t="array" ref="E24">ROUND(INDEX(COST_Cls3,$A24-($A$24-1),MATCH(E$20,TECHOPTS_Cls3,0)),2)</f>
        <v>1000000</v>
      </c>
      <c r="F24" s="656" cm="1">
        <f t="array" ref="F24">ROUND(INDEX(COST_Cls3,$A24-($A$24-1),MATCH(F$20,TECHOPTS_Cls3,0)),2)</f>
        <v>1000000</v>
      </c>
      <c r="G24" s="657" cm="1">
        <f t="array" ref="G24">ROUND(INDEX(COST_Cls3,$A24-($A$24-1),MATCH(G$20,TECHOPTS_Cls3,0)),2)</f>
        <v>1000000</v>
      </c>
      <c r="H24" s="628" cm="1">
        <f t="array" ref="H24">IF(H$21="Single-fuel",1,1-MIN(INDEX(CDRANGE_CLS3,$A24-($A$24-1),MATCH(H$20,TECHOPTS_Cls3,0))*OPDAYS_Cls3/$D$6,1))</f>
        <v>1</v>
      </c>
      <c r="I24" s="629" cm="1">
        <f t="array" ref="I24">IF(I$21="Single-fuel",1,1-MIN(INDEX(CDRANGE_CLS3,$A24-($A$24-1),MATCH(I$20,TECHOPTS_Cls3,0))*OPDAYS_Cls3/$D$6,1))</f>
        <v>1</v>
      </c>
      <c r="J24" s="629" cm="1">
        <f t="array" ref="J24">IF(J$21="Single-fuel",1,1-MIN(INDEX(CDRANGE_CLS3,$A24-($A$24-1),MATCH(J$20,TECHOPTS_Cls3,0))*OPDAYS_Cls3/$D$6,1))</f>
        <v>1</v>
      </c>
      <c r="K24" s="629" cm="1">
        <f t="array" ref="K24">IF(K$21="Single-fuel",1,1-MIN(INDEX(CDRANGE_CLS3,$A24-($A$24-1),MATCH(K$20,TECHOPTS_Cls3,0))*OPDAYS_Cls3/$D$6,1))</f>
        <v>1</v>
      </c>
      <c r="L24" s="629" cm="1">
        <f t="array" ref="L24">IF(L$21="Single-fuel",1,1-MIN(INDEX(CDRANGE_CLS3,$A24-($A$24-1),MATCH(L$20,TECHOPTS_Cls3,0))*OPDAYS_Cls3/$D$6,1))</f>
        <v>1</v>
      </c>
      <c r="M24" s="630" cm="1">
        <f t="array" ref="M24">IF(M$21="Single-fuel",1,1-MIN(INDEX(CDRANGE_CLS3,$A24-($A$24-1),MATCH(M$20,TECHOPTS_Cls3,0))*OPDAYS_Cls3/$D$6,1))</f>
        <v>1</v>
      </c>
      <c r="N24" s="580"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148"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148"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148"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148"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148"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147">
        <f t="shared" ref="T24:T67" si="30">$N24-O24+T$22</f>
        <v>-36471.586909356367</v>
      </c>
      <c r="U24" s="148">
        <f t="shared" ref="U24:U67" si="31">$N24-P24+U$22</f>
        <v>-36471.586909356367</v>
      </c>
      <c r="V24" s="148">
        <f t="shared" ref="V24:V67" si="32">$N24-Q24+V$22</f>
        <v>-159060.76559386845</v>
      </c>
      <c r="W24" s="148">
        <f t="shared" ref="W24:W67" si="33">$N24-R24+W$22</f>
        <v>-225143.62973284011</v>
      </c>
      <c r="X24" s="150">
        <f t="shared" ref="X24:X67" si="34">$N24-S24+X$22</f>
        <v>-36471.586909356367</v>
      </c>
      <c r="Y24" s="151" cm="1">
        <f t="array" aca="1" ref="Y24" ca="1">IF(AND(Y$22=TRUE,INDEX(CDRANGE_CLS3,MATCH($A24,$A$24:$A$67,0),MATCH(Y$20,$B$20:$G$20,0))&lt;$D$6/OPDAYS_Cls3),86,payback(C24,T24,disc_rate/12,85))</f>
        <v>86</v>
      </c>
      <c r="Z24" s="152" cm="1">
        <f t="array" aca="1" ref="Z24" ca="1">IF(AND(Z$22=TRUE,INDEX(CDRANGE_CLS3,MATCH($A24,$A$24:$A$67,0),MATCH(Z$20,$B$20:$G$20,0))&lt;$D$6/OPDAYS_Cls3),86,payback(D24,U24,disc_rate/12,85))</f>
        <v>86</v>
      </c>
      <c r="AA24" s="152" cm="1">
        <f t="array" ref="AA24">IF(AND(AA$22=TRUE,INDEX(CDRANGE_CLS3,MATCH($A24,$A$24:$A$67,0),MATCH(AA$20,$B$20:$G$20,0))&lt;$D$6/OPDAYS_Cls3),86,payback(E24,V24,disc_rate/12,85))</f>
        <v>86</v>
      </c>
      <c r="AB24" s="152" cm="1">
        <f t="array" aca="1" ref="AB24" ca="1">IF(AND(AB$22=TRUE,INDEX(CDRANGE_CLS3,MATCH($A24,$A$24:$A$67,0),MATCH(AB$20,$B$20:$G$20,0))&lt;$D$6/OPDAYS_Cls3),86,payback(F24,W24,disc_rate/12,85))</f>
        <v>86</v>
      </c>
      <c r="AC24" s="153" cm="1">
        <f t="array" aca="1" ref="AC24" ca="1">IF(AND(AC$22=TRUE,INDEX(CDRANGE_CLS3,MATCH($A24,$A$24:$A$67,0),MATCH(AC$20,$B$20:$G$20,0))&lt;$D$6/OPDAYS_Cls3),86,payback(G24,X24,disc_rate/12,85))</f>
        <v>86</v>
      </c>
      <c r="AD24" s="154">
        <f t="shared" ref="AD24:AD67" si="35">IF(AND(C24&lt;=AD$21,$N24-O24&gt;=-AD$22),AI24*VLOOKUP(C24/AD$21,FirstCostInd,2,TRUE)*VLOOKUP(($N24-O24)/AD$22,FuelCostInd,2,1),0)</f>
        <v>0</v>
      </c>
      <c r="AE24" s="155">
        <f t="shared" ref="AE24:AE67" si="36">IF(AND(D24&lt;=AE$21,$N24-P24&gt;=-AE$22),AJ24*VLOOKUP(D24/AE$21,FirstCostInd,2,TRUE)*VLOOKUP(($N24-P24)/AE$22,FuelCostInd,2,1),0)</f>
        <v>0</v>
      </c>
      <c r="AF24" s="155">
        <f t="shared" ref="AF24:AF67" si="37">IF(AND(E24&lt;=AF$21,$N24-Q24&gt;=-AF$22),AK24*VLOOKUP(E24/AF$21,FirstCostInd,2,TRUE)*VLOOKUP(($N24-Q24)/AF$22,FuelCostInd,2,1),0)</f>
        <v>0</v>
      </c>
      <c r="AG24" s="155">
        <f t="shared" ref="AG24:AG67" si="38">IF(AND(F24&lt;=AG$21,$N24-R24&gt;=-AG$22),AL24*VLOOKUP(F24/AG$21,FirstCostInd,2,TRUE)*VLOOKUP(($N24-R24)/AG$22,FuelCostInd,2,1),0)</f>
        <v>0</v>
      </c>
      <c r="AH24" s="491">
        <f t="shared" ref="AH24:AH67" si="39">IF(AND(G24&lt;=AH$21,$N24-S24&gt;=-AH$22),AM24*VLOOKUP(G24/AH$21,FirstCostInd,2,TRUE)*VLOOKUP(($N24-S24)/AH$22,FuelCostInd,2,1),0)</f>
        <v>0</v>
      </c>
      <c r="AI24" s="157" cm="1">
        <f t="array" ref="AI24">IF($A24&lt;AI$23,0,AI$21+VLOOKUP($A24-AI$23,SCdata,2,1)*(AI$22-AI$21))*IF($D$5="Non-Central",INDEX(fuel_avail,$A24-$A$24+1,MATCH(O$21,Fuels,0)),1)</f>
        <v>0</v>
      </c>
      <c r="AJ24" s="158" cm="1">
        <f t="array" ref="AJ24">IF($A24&lt;AJ$23,0,AJ$21+VLOOKUP($A24-AJ$23,SCdata,2,1)*(AJ$22-AJ$21))*IF($D$5="Non-Central",INDEX(fuel_avail,$A24-$A$24+1,MATCH(P$21,Fuels,0)),1)</f>
        <v>0</v>
      </c>
      <c r="AK24" s="158" cm="1">
        <f t="array" ref="AK24">IF($A24&lt;AK$23,0,AK$21+VLOOKUP($A24-AK$23,SCdata,2,1)*(AK$22-AK$21))*IF($D$5="Non-Central",INDEX(fuel_avail,$A24-$A$24+1,MATCH(Q$21,Fuels,0)),1)</f>
        <v>0</v>
      </c>
      <c r="AL24" s="158" cm="1">
        <f t="array" ref="AL24">IF($A24&lt;AL$23,0,AL$21+VLOOKUP($A24-AL$23,SCdata,2,1)*(AL$22-AL$21))*IF($D$5="Non-Central",INDEX(fuel_avail,$A24-$A$24+1,MATCH(R$21,Fuels,0)),1)</f>
        <v>0</v>
      </c>
      <c r="AM24" s="159" cm="1">
        <f t="array" ref="AM24">IF($A24&lt;AM$23,0,AM$21+VLOOKUP($A24-AM$23,SCdata,2,1)*(AM$22-AM$21))*IF($D$5="Non-Central",INDEX(fuel_avail,$A24-$A$24+1,MATCH(S$21,Fuels,0)),1)</f>
        <v>0</v>
      </c>
      <c r="AN24" s="157">
        <f>IF(C24&lt;0,1,$AQ$17*(1-WEIBULL(C24/$B24,$AO$17,$AO$18,1)))</f>
        <v>0</v>
      </c>
      <c r="AO24" s="158">
        <f t="shared" ref="AO24:AR39" si="40">IF(D24&lt;0,1,$AQ$17*(1-WEIBULL(D24/$B24,$AO$17,$AO$18,1)))</f>
        <v>0</v>
      </c>
      <c r="AP24" s="158">
        <f t="shared" si="40"/>
        <v>0</v>
      </c>
      <c r="AQ24" s="158">
        <f t="shared" si="40"/>
        <v>0</v>
      </c>
      <c r="AR24" s="159">
        <f t="shared" si="40"/>
        <v>0</v>
      </c>
      <c r="AS24" s="154">
        <f t="shared" ref="AS24:AS67" ca="1" si="41">MIN(1,MAX(AD24,IF(Y24&gt;85,0,(AI24/0.5)*VLOOKUP(Y24,AdoptDec,$AU$18,0))))</f>
        <v>0</v>
      </c>
      <c r="AT24" s="155">
        <f t="shared" ref="AT24:AT67" ca="1" si="42">MIN(1,MAX(AE24,IF(Z24&gt;85,0,(AJ24/0.5)*VLOOKUP(Z24,AdoptDec,$AU$18,0))))</f>
        <v>0</v>
      </c>
      <c r="AU24" s="653">
        <f t="shared" ref="AU24:AU67" si="43">MIN(1,MAX(AF24,IF(AA24&gt;85,0,(AK24/0.5)*VLOOKUP(AA24,AdoptDec,$AU$18,0))))</f>
        <v>0</v>
      </c>
      <c r="AV24" s="653">
        <f t="shared" ref="AV24:AV67" ca="1" si="44">MIN(1,MAX(AG24,IF(AB24&gt;85,0,(AL24/0.5)*VLOOKUP(AB24,AdoptDec,$AU$18,0))))</f>
        <v>0</v>
      </c>
      <c r="AW24" s="654">
        <f t="shared" ref="AW24:AW67" ca="1" si="45">MIN(1,MAX(AH24,IF(AC24&gt;85,0,(AM24/0.5)*VLOOKUP(AC24,AdoptDec,$AU$18,0))))</f>
        <v>0</v>
      </c>
      <c r="AX24" s="603">
        <f t="shared" ref="AX24:BB67" ca="1" si="46">MIN(AS24*AN24,1)</f>
        <v>0</v>
      </c>
      <c r="AY24" s="155">
        <f t="shared" ca="1" si="46"/>
        <v>0</v>
      </c>
      <c r="AZ24" s="155">
        <f t="shared" si="46"/>
        <v>0</v>
      </c>
      <c r="BA24" s="155">
        <f t="shared" ca="1" si="46"/>
        <v>0</v>
      </c>
      <c r="BB24" s="491">
        <f t="shared" ca="1" si="46"/>
        <v>0</v>
      </c>
      <c r="BC24" s="154">
        <f ca="1">1-SUM(BD24:BH24)</f>
        <v>1</v>
      </c>
      <c r="BD24" s="155">
        <f t="shared" ref="BD24:BD67" ca="1" si="47">IF(SUM($AX24:$BB24)=0,0,MAX($AX24:$BB24)*(AI24*AX24/SUMPRODUCT($AI24:$AM24,$AX24:$BB24)))</f>
        <v>0</v>
      </c>
      <c r="BE24" s="155">
        <f t="shared" ref="BE24:BE67" ca="1" si="48">IF(SUM($AX24:$BB24)=0,0,MAX($AX24:$BB24)*(AJ24*AY24/SUMPRODUCT($AI24:$AM24,$AX24:$BB24)))</f>
        <v>0</v>
      </c>
      <c r="BF24" s="155">
        <f t="shared" ref="BF24:BF67" ca="1" si="49">IF(SUM($AX24:$BB24)=0,0,MAX($AX24:$BB24)*(AK24*AZ24/SUMPRODUCT($AI24:$AM24,$AX24:$BB24)))</f>
        <v>0</v>
      </c>
      <c r="BG24" s="155">
        <f t="shared" ref="BG24:BG67" ca="1" si="50">IF(SUM($AX24:$BB24)=0,0,MAX($AX24:$BB24)*(AL24*BA24/SUMPRODUCT($AI24:$AM24,$AX24:$BB24)))</f>
        <v>0</v>
      </c>
      <c r="BH24" s="156">
        <f t="shared" ref="BH24:BH67" ca="1" si="51">IF(SUM($AX24:$BB24)=0,0,MAX($AX24:$BB24)*(AM24*BB24/SUMPRODUCT($AI24:$AM24,$AX24:$BB24)))</f>
        <v>0</v>
      </c>
    </row>
    <row r="25" spans="1:60" x14ac:dyDescent="0.2">
      <c r="A25" s="160">
        <v>2008</v>
      </c>
      <c r="B25" s="658" cm="1">
        <f t="array" ref="B25">ROUND(INDEX(COST_Cls3,$A25-($A$24-1),MATCH(B$20,TECHOPTS_Cls3,0)),2)</f>
        <v>81898</v>
      </c>
      <c r="C25" s="659" cm="1">
        <f t="array" ref="C25">ROUND(INDEX(COST_Cls3,$A25-($A$24-1),MATCH(C$20,TECHOPTS_Cls3,0)),2)</f>
        <v>1000000</v>
      </c>
      <c r="D25" s="659" cm="1">
        <f t="array" ref="D25">ROUND(INDEX(COST_Cls3,$A25-($A$24-1),MATCH(D$20,TECHOPTS_Cls3,0)),2)</f>
        <v>1000000</v>
      </c>
      <c r="E25" s="659" cm="1">
        <f t="array" ref="E25">ROUND(INDEX(COST_Cls3,$A25-($A$24-1),MATCH(E$20,TECHOPTS_Cls3,0)),2)</f>
        <v>1000000</v>
      </c>
      <c r="F25" s="659" cm="1">
        <f t="array" ref="F25">ROUND(INDEX(COST_Cls3,$A25-($A$24-1),MATCH(F$20,TECHOPTS_Cls3,0)),2)</f>
        <v>1000000</v>
      </c>
      <c r="G25" s="660" cm="1">
        <f t="array" ref="G25">ROUND(INDEX(COST_Cls3,$A25-($A$24-1),MATCH(G$20,TECHOPTS_Cls3,0)),2)</f>
        <v>1000000</v>
      </c>
      <c r="H25" s="628" cm="1">
        <f t="array" ref="H25">IF(H$21="Single-fuel",1,1-MIN(INDEX(CDRANGE_CLS3,$A25-($A$24-1),MATCH(H$20,TECHOPTS_Cls3,0))*OPDAYS_Cls3/$D$6,1))</f>
        <v>1</v>
      </c>
      <c r="I25" s="629" cm="1">
        <f t="array" ref="I25">IF(I$21="Single-fuel",1,1-MIN(INDEX(CDRANGE_CLS3,$A25-($A$24-1),MATCH(I$20,TECHOPTS_Cls3,0))*OPDAYS_Cls3/$D$6,1))</f>
        <v>1</v>
      </c>
      <c r="J25" s="629" cm="1">
        <f t="array" ref="J25">IF(J$21="Single-fuel",1,1-MIN(INDEX(CDRANGE_CLS3,$A25-($A$24-1),MATCH(J$20,TECHOPTS_Cls3,0))*OPDAYS_Cls3/$D$6,1))</f>
        <v>1</v>
      </c>
      <c r="K25" s="629" cm="1">
        <f t="array" ref="K25">IF(K$21="Single-fuel",1,1-MIN(INDEX(CDRANGE_CLS3,$A25-($A$24-1),MATCH(K$20,TECHOPTS_Cls3,0))*OPDAYS_Cls3/$D$6,1))</f>
        <v>1</v>
      </c>
      <c r="L25" s="629" cm="1">
        <f t="array" ref="L25">IF(L$21="Single-fuel",1,1-MIN(INDEX(CDRANGE_CLS3,$A25-($A$24-1),MATCH(L$20,TECHOPTS_Cls3,0))*OPDAYS_Cls3/$D$6,1))</f>
        <v>1</v>
      </c>
      <c r="M25" s="630" cm="1">
        <f t="array" ref="M25">IF(M$21="Single-fuel",1,1-MIN(INDEX(CDRANGE_CLS3,$A25-($A$24-1),MATCH(M$20,TECHOPTS_Cls3,0))*OPDAYS_Cls3/$D$6,1))</f>
        <v>1</v>
      </c>
      <c r="N25" s="580"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148"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148"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148"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148"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150"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161">
        <f t="shared" si="30"/>
        <v>-49921.019209113227</v>
      </c>
      <c r="U25" s="162">
        <f t="shared" si="31"/>
        <v>-49921.019209113227</v>
      </c>
      <c r="V25" s="162">
        <f t="shared" si="32"/>
        <v>-206070.36576278484</v>
      </c>
      <c r="W25" s="162">
        <f t="shared" si="33"/>
        <v>-222414.37311925655</v>
      </c>
      <c r="X25" s="164">
        <f t="shared" si="34"/>
        <v>-49921.019209113227</v>
      </c>
      <c r="Y25" s="151" cm="1">
        <f t="array" aca="1" ref="Y25" ca="1">IF(AND(Y$22=TRUE,INDEX(CDRANGE_CLS3,MATCH($A25,$A$24:$A$67,0),MATCH(Y$20,$B$20:$G$20,0))&lt;$D$6/OPDAYS_Cls3),86,payback(C25,T25,disc_rate/12,85))</f>
        <v>86</v>
      </c>
      <c r="Z25" s="152" cm="1">
        <f t="array" aca="1" ref="Z25" ca="1">IF(AND(Z$22=TRUE,INDEX(CDRANGE_CLS3,MATCH($A25,$A$24:$A$67,0),MATCH(Z$20,$B$20:$G$20,0))&lt;$D$6/OPDAYS_Cls3),86,payback(D25,U25,disc_rate/12,85))</f>
        <v>86</v>
      </c>
      <c r="AA25" s="152" cm="1">
        <f t="array" ref="AA25">IF(AND(AA$22=TRUE,INDEX(CDRANGE_CLS3,MATCH($A25,$A$24:$A$67,0),MATCH(AA$20,$B$20:$G$20,0))&lt;$D$6/OPDAYS_Cls3),86,payback(E25,V25,disc_rate/12,85))</f>
        <v>86</v>
      </c>
      <c r="AB25" s="152" cm="1">
        <f t="array" aca="1" ref="AB25" ca="1">IF(AND(AB$22=TRUE,INDEX(CDRANGE_CLS3,MATCH($A25,$A$24:$A$67,0),MATCH(AB$20,$B$20:$G$20,0))&lt;$D$6/OPDAYS_Cls3),86,payback(F25,W25,disc_rate/12,85))</f>
        <v>86</v>
      </c>
      <c r="AC25" s="153" cm="1">
        <f t="array" aca="1" ref="AC25" ca="1">IF(AND(AC$22=TRUE,INDEX(CDRANGE_CLS3,MATCH($A25,$A$24:$A$67,0),MATCH(AC$20,$B$20:$G$20,0))&lt;$D$6/OPDAYS_Cls3),86,payback(G25,X25,disc_rate/12,85))</f>
        <v>86</v>
      </c>
      <c r="AD25" s="168">
        <f t="shared" si="35"/>
        <v>0</v>
      </c>
      <c r="AE25" s="169">
        <f t="shared" si="36"/>
        <v>0</v>
      </c>
      <c r="AF25" s="169">
        <f t="shared" si="37"/>
        <v>0</v>
      </c>
      <c r="AG25" s="169">
        <f t="shared" si="38"/>
        <v>0</v>
      </c>
      <c r="AH25" s="444">
        <f t="shared" si="39"/>
        <v>0</v>
      </c>
      <c r="AI25" s="171" cm="1">
        <f t="array" ref="AI25">IF($A25&lt;AI$23,0,AI$21+VLOOKUP($A25-AI$23,SCdata,2,1)*(AI$22-AI$21))*IF($D$5="Non-Central",INDEX(fuel_avail,$A25-$A$24+1,MATCH(O$21,Fuels,0)),1)</f>
        <v>0</v>
      </c>
      <c r="AJ25" s="172" cm="1">
        <f t="array" ref="AJ25">IF($A25&lt;AJ$23,0,AJ$21+VLOOKUP($A25-AJ$23,SCdata,2,1)*(AJ$22-AJ$21))*IF($D$5="Non-Central",INDEX(fuel_avail,$A25-$A$24+1,MATCH(P$21,Fuels,0)),1)</f>
        <v>0</v>
      </c>
      <c r="AK25" s="172" cm="1">
        <f t="array" ref="AK25">IF($A25&lt;AK$23,0,AK$21+VLOOKUP($A25-AK$23,SCdata,2,1)*(AK$22-AK$21))*IF($D$5="Non-Central",INDEX(fuel_avail,$A25-$A$24+1,MATCH(Q$21,Fuels,0)),1)</f>
        <v>0</v>
      </c>
      <c r="AL25" s="172" cm="1">
        <f t="array" ref="AL25">IF($A25&lt;AL$23,0,AL$21+VLOOKUP($A25-AL$23,SCdata,2,1)*(AL$22-AL$21))*IF($D$5="Non-Central",INDEX(fuel_avail,$A25-$A$24+1,MATCH(R$21,Fuels,0)),1)</f>
        <v>0</v>
      </c>
      <c r="AM25" s="173" cm="1">
        <f t="array" ref="AM25">IF($A25&lt;AM$23,0,AM$21+VLOOKUP($A25-AM$23,SCdata,2,1)*(AM$22-AM$21))*IF($D$5="Non-Central",INDEX(fuel_avail,$A25-$A$24+1,MATCH(S$21,Fuels,0)),1)</f>
        <v>0</v>
      </c>
      <c r="AN25" s="171">
        <f t="shared" ref="AN25:AR67" si="52">IF(C25&lt;0,1,$AQ$17*(1-WEIBULL(C25/$B25,$AO$17,$AO$18,1)))</f>
        <v>0</v>
      </c>
      <c r="AO25" s="172">
        <f t="shared" si="40"/>
        <v>0</v>
      </c>
      <c r="AP25" s="172">
        <f t="shared" si="40"/>
        <v>0</v>
      </c>
      <c r="AQ25" s="172">
        <f t="shared" si="40"/>
        <v>0</v>
      </c>
      <c r="AR25" s="173">
        <f t="shared" si="40"/>
        <v>0</v>
      </c>
      <c r="AS25" s="168">
        <f t="shared" ca="1" si="41"/>
        <v>0</v>
      </c>
      <c r="AT25" s="169">
        <f t="shared" ca="1" si="42"/>
        <v>0</v>
      </c>
      <c r="AU25" s="169">
        <f t="shared" si="43"/>
        <v>0</v>
      </c>
      <c r="AV25" s="169">
        <f t="shared" ca="1" si="44"/>
        <v>0</v>
      </c>
      <c r="AW25" s="170">
        <f t="shared" ca="1" si="45"/>
        <v>0</v>
      </c>
      <c r="AX25" s="604">
        <f t="shared" ca="1" si="46"/>
        <v>0</v>
      </c>
      <c r="AY25" s="169">
        <f t="shared" ca="1" si="46"/>
        <v>0</v>
      </c>
      <c r="AZ25" s="169">
        <f t="shared" si="46"/>
        <v>0</v>
      </c>
      <c r="BA25" s="169">
        <f t="shared" ca="1" si="46"/>
        <v>0</v>
      </c>
      <c r="BB25" s="444">
        <f t="shared" ca="1" si="46"/>
        <v>0</v>
      </c>
      <c r="BC25" s="168">
        <f t="shared" ref="BC25:BC67" ca="1" si="53">1-SUM(BD25:BH25)</f>
        <v>1</v>
      </c>
      <c r="BD25" s="169">
        <f t="shared" ca="1" si="47"/>
        <v>0</v>
      </c>
      <c r="BE25" s="169">
        <f t="shared" ca="1" si="48"/>
        <v>0</v>
      </c>
      <c r="BF25" s="169">
        <f t="shared" ca="1" si="49"/>
        <v>0</v>
      </c>
      <c r="BG25" s="169">
        <f t="shared" ca="1" si="50"/>
        <v>0</v>
      </c>
      <c r="BH25" s="170">
        <f t="shared" ca="1" si="51"/>
        <v>0</v>
      </c>
    </row>
    <row r="26" spans="1:60" x14ac:dyDescent="0.2">
      <c r="A26" s="160">
        <v>2009</v>
      </c>
      <c r="B26" s="658" cm="1">
        <f t="array" ref="B26">ROUND(INDEX(COST_Cls3,$A26-($A$24-1),MATCH(B$20,TECHOPTS_Cls3,0)),2)</f>
        <v>81898</v>
      </c>
      <c r="C26" s="659" cm="1">
        <f t="array" ref="C26">ROUND(INDEX(COST_Cls3,$A26-($A$24-1),MATCH(C$20,TECHOPTS_Cls3,0)),2)</f>
        <v>1000000</v>
      </c>
      <c r="D26" s="659" cm="1">
        <f t="array" ref="D26">ROUND(INDEX(COST_Cls3,$A26-($A$24-1),MATCH(D$20,TECHOPTS_Cls3,0)),2)</f>
        <v>1000000</v>
      </c>
      <c r="E26" s="659" cm="1">
        <f t="array" ref="E26">ROUND(INDEX(COST_Cls3,$A26-($A$24-1),MATCH(E$20,TECHOPTS_Cls3,0)),2)</f>
        <v>1000000</v>
      </c>
      <c r="F26" s="659" cm="1">
        <f t="array" ref="F26">ROUND(INDEX(COST_Cls3,$A26-($A$24-1),MATCH(F$20,TECHOPTS_Cls3,0)),2)</f>
        <v>1000000</v>
      </c>
      <c r="G26" s="660" cm="1">
        <f t="array" ref="G26">ROUND(INDEX(COST_Cls3,$A26-($A$24-1),MATCH(G$20,TECHOPTS_Cls3,0)),2)</f>
        <v>1000000</v>
      </c>
      <c r="H26" s="628" cm="1">
        <f t="array" ref="H26">IF(H$21="Single-fuel",1,1-MIN(INDEX(CDRANGE_CLS3,$A26-($A$24-1),MATCH(H$20,TECHOPTS_Cls3,0))*OPDAYS_Cls3/$D$6,1))</f>
        <v>1</v>
      </c>
      <c r="I26" s="629" cm="1">
        <f t="array" ref="I26">IF(I$21="Single-fuel",1,1-MIN(INDEX(CDRANGE_CLS3,$A26-($A$24-1),MATCH(I$20,TECHOPTS_Cls3,0))*OPDAYS_Cls3/$D$6,1))</f>
        <v>1</v>
      </c>
      <c r="J26" s="629" cm="1">
        <f t="array" ref="J26">IF(J$21="Single-fuel",1,1-MIN(INDEX(CDRANGE_CLS3,$A26-($A$24-1),MATCH(J$20,TECHOPTS_Cls3,0))*OPDAYS_Cls3/$D$6,1))</f>
        <v>1</v>
      </c>
      <c r="K26" s="629" cm="1">
        <f t="array" ref="K26">IF(K$21="Single-fuel",1,1-MIN(INDEX(CDRANGE_CLS3,$A26-($A$24-1),MATCH(K$20,TECHOPTS_Cls3,0))*OPDAYS_Cls3/$D$6,1))</f>
        <v>1</v>
      </c>
      <c r="L26" s="629" cm="1">
        <f t="array" ref="L26">IF(L$21="Single-fuel",1,1-MIN(INDEX(CDRANGE_CLS3,$A26-($A$24-1),MATCH(L$20,TECHOPTS_Cls3,0))*OPDAYS_Cls3/$D$6,1))</f>
        <v>1</v>
      </c>
      <c r="M26" s="630" cm="1">
        <f t="array" ref="M26">IF(M$21="Single-fuel",1,1-MIN(INDEX(CDRANGE_CLS3,$A26-($A$24-1),MATCH(M$20,TECHOPTS_Cls3,0))*OPDAYS_Cls3/$D$6,1))</f>
        <v>1</v>
      </c>
      <c r="N26" s="580"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148"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148"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148"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148"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150"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161">
        <f t="shared" si="30"/>
        <v>-32266.966093064606</v>
      </c>
      <c r="U26" s="162">
        <f t="shared" si="31"/>
        <v>-32266.966093064606</v>
      </c>
      <c r="V26" s="162">
        <f t="shared" si="32"/>
        <v>-317440.22040811548</v>
      </c>
      <c r="W26" s="162">
        <f t="shared" si="33"/>
        <v>-225996.86196708714</v>
      </c>
      <c r="X26" s="164">
        <f t="shared" si="34"/>
        <v>-32266.966093064606</v>
      </c>
      <c r="Y26" s="151" cm="1">
        <f t="array" aca="1" ref="Y26" ca="1">IF(AND(Y$22=TRUE,INDEX(CDRANGE_CLS3,MATCH($A26,$A$24:$A$67,0),MATCH(Y$20,$B$20:$G$20,0))&lt;$D$6/OPDAYS_Cls3),86,payback(C26,T26,disc_rate/12,85))</f>
        <v>86</v>
      </c>
      <c r="Z26" s="152" cm="1">
        <f t="array" aca="1" ref="Z26" ca="1">IF(AND(Z$22=TRUE,INDEX(CDRANGE_CLS3,MATCH($A26,$A$24:$A$67,0),MATCH(Z$20,$B$20:$G$20,0))&lt;$D$6/OPDAYS_Cls3),86,payback(D26,U26,disc_rate/12,85))</f>
        <v>86</v>
      </c>
      <c r="AA26" s="152" cm="1">
        <f t="array" ref="AA26">IF(AND(AA$22=TRUE,INDEX(CDRANGE_CLS3,MATCH($A26,$A$24:$A$67,0),MATCH(AA$20,$B$20:$G$20,0))&lt;$D$6/OPDAYS_Cls3),86,payback(E26,V26,disc_rate/12,85))</f>
        <v>86</v>
      </c>
      <c r="AB26" s="152" cm="1">
        <f t="array" aca="1" ref="AB26" ca="1">IF(AND(AB$22=TRUE,INDEX(CDRANGE_CLS3,MATCH($A26,$A$24:$A$67,0),MATCH(AB$20,$B$20:$G$20,0))&lt;$D$6/OPDAYS_Cls3),86,payback(F26,W26,disc_rate/12,85))</f>
        <v>86</v>
      </c>
      <c r="AC26" s="153" cm="1">
        <f t="array" aca="1" ref="AC26" ca="1">IF(AND(AC$22=TRUE,INDEX(CDRANGE_CLS3,MATCH($A26,$A$24:$A$67,0),MATCH(AC$20,$B$20:$G$20,0))&lt;$D$6/OPDAYS_Cls3),86,payback(G26,X26,disc_rate/12,85))</f>
        <v>86</v>
      </c>
      <c r="AD26" s="168">
        <f t="shared" si="35"/>
        <v>0</v>
      </c>
      <c r="AE26" s="169">
        <f t="shared" si="36"/>
        <v>0</v>
      </c>
      <c r="AF26" s="169">
        <f t="shared" si="37"/>
        <v>0</v>
      </c>
      <c r="AG26" s="169">
        <f t="shared" si="38"/>
        <v>0</v>
      </c>
      <c r="AH26" s="444">
        <f t="shared" si="39"/>
        <v>0</v>
      </c>
      <c r="AI26" s="171" cm="1">
        <f t="array" ref="AI26">IF($A26&lt;AI$23,0,AI$21+VLOOKUP($A26-AI$23,SCdata,2,1)*(AI$22-AI$21))*IF($D$5="Non-Central",INDEX(fuel_avail,$A26-$A$24+1,MATCH(O$21,Fuels,0)),1)</f>
        <v>0</v>
      </c>
      <c r="AJ26" s="172" cm="1">
        <f t="array" ref="AJ26">IF($A26&lt;AJ$23,0,AJ$21+VLOOKUP($A26-AJ$23,SCdata,2,1)*(AJ$22-AJ$21))*IF($D$5="Non-Central",INDEX(fuel_avail,$A26-$A$24+1,MATCH(P$21,Fuels,0)),1)</f>
        <v>0</v>
      </c>
      <c r="AK26" s="172" cm="1">
        <f t="array" ref="AK26">IF($A26&lt;AK$23,0,AK$21+VLOOKUP($A26-AK$23,SCdata,2,1)*(AK$22-AK$21))*IF($D$5="Non-Central",INDEX(fuel_avail,$A26-$A$24+1,MATCH(Q$21,Fuels,0)),1)</f>
        <v>0</v>
      </c>
      <c r="AL26" s="172" cm="1">
        <f t="array" ref="AL26">IF($A26&lt;AL$23,0,AL$21+VLOOKUP($A26-AL$23,SCdata,2,1)*(AL$22-AL$21))*IF($D$5="Non-Central",INDEX(fuel_avail,$A26-$A$24+1,MATCH(R$21,Fuels,0)),1)</f>
        <v>0</v>
      </c>
      <c r="AM26" s="173" cm="1">
        <f t="array" ref="AM26">IF($A26&lt;AM$23,0,AM$21+VLOOKUP($A26-AM$23,SCdata,2,1)*(AM$22-AM$21))*IF($D$5="Non-Central",INDEX(fuel_avail,$A26-$A$24+1,MATCH(S$21,Fuels,0)),1)</f>
        <v>0</v>
      </c>
      <c r="AN26" s="171">
        <f t="shared" si="52"/>
        <v>0</v>
      </c>
      <c r="AO26" s="172">
        <f t="shared" si="40"/>
        <v>0</v>
      </c>
      <c r="AP26" s="172">
        <f t="shared" si="40"/>
        <v>0</v>
      </c>
      <c r="AQ26" s="172">
        <f t="shared" si="40"/>
        <v>0</v>
      </c>
      <c r="AR26" s="173">
        <f t="shared" si="40"/>
        <v>0</v>
      </c>
      <c r="AS26" s="168">
        <f t="shared" ca="1" si="41"/>
        <v>0</v>
      </c>
      <c r="AT26" s="169">
        <f t="shared" ca="1" si="42"/>
        <v>0</v>
      </c>
      <c r="AU26" s="169">
        <f t="shared" si="43"/>
        <v>0</v>
      </c>
      <c r="AV26" s="169">
        <f t="shared" ca="1" si="44"/>
        <v>0</v>
      </c>
      <c r="AW26" s="170">
        <f t="shared" ca="1" si="45"/>
        <v>0</v>
      </c>
      <c r="AX26" s="604">
        <f t="shared" ca="1" si="46"/>
        <v>0</v>
      </c>
      <c r="AY26" s="169">
        <f t="shared" ca="1" si="46"/>
        <v>0</v>
      </c>
      <c r="AZ26" s="169">
        <f t="shared" si="46"/>
        <v>0</v>
      </c>
      <c r="BA26" s="169">
        <f t="shared" ca="1" si="46"/>
        <v>0</v>
      </c>
      <c r="BB26" s="444">
        <f t="shared" ca="1" si="46"/>
        <v>0</v>
      </c>
      <c r="BC26" s="168">
        <f t="shared" ca="1" si="53"/>
        <v>1</v>
      </c>
      <c r="BD26" s="169">
        <f t="shared" ca="1" si="47"/>
        <v>0</v>
      </c>
      <c r="BE26" s="169">
        <f t="shared" ca="1" si="48"/>
        <v>0</v>
      </c>
      <c r="BF26" s="169">
        <f t="shared" ca="1" si="49"/>
        <v>0</v>
      </c>
      <c r="BG26" s="169">
        <f t="shared" ca="1" si="50"/>
        <v>0</v>
      </c>
      <c r="BH26" s="170">
        <f t="shared" ca="1" si="51"/>
        <v>0</v>
      </c>
    </row>
    <row r="27" spans="1:60" ht="13.5" thickBot="1" x14ac:dyDescent="0.25">
      <c r="A27" s="465">
        <v>2010</v>
      </c>
      <c r="B27" s="661" cm="1">
        <f t="array" ref="B27">ROUND(INDEX(COST_Cls3,$A27-($A$24-1),MATCH(B$20,TECHOPTS_Cls3,0)),2)</f>
        <v>81898</v>
      </c>
      <c r="C27" s="662" cm="1">
        <f t="array" ref="C27">ROUND(INDEX(COST_Cls3,$A27-($A$24-1),MATCH(C$20,TECHOPTS_Cls3,0)),2)</f>
        <v>1000000</v>
      </c>
      <c r="D27" s="662" cm="1">
        <f t="array" ref="D27">ROUND(INDEX(COST_Cls3,$A27-($A$24-1),MATCH(D$20,TECHOPTS_Cls3,0)),2)</f>
        <v>1000000</v>
      </c>
      <c r="E27" s="662" cm="1">
        <f t="array" ref="E27">ROUND(INDEX(COST_Cls3,$A27-($A$24-1),MATCH(E$20,TECHOPTS_Cls3,0)),2)</f>
        <v>1000000</v>
      </c>
      <c r="F27" s="662" cm="1">
        <f t="array" ref="F27">ROUND(INDEX(COST_Cls3,$A27-($A$24-1),MATCH(F$20,TECHOPTS_Cls3,0)),2)</f>
        <v>1000000</v>
      </c>
      <c r="G27" s="663" cm="1">
        <f t="array" ref="G27">ROUND(INDEX(COST_Cls3,$A27-($A$24-1),MATCH(G$20,TECHOPTS_Cls3,0)),2)</f>
        <v>1000000</v>
      </c>
      <c r="H27" s="628" cm="1">
        <f t="array" ref="H27">IF(H$21="Single-fuel",1,1-MIN(INDEX(CDRANGE_CLS3,$A27-($A$24-1),MATCH(H$20,TECHOPTS_Cls3,0))*OPDAYS_Cls3/$D$6,1))</f>
        <v>1</v>
      </c>
      <c r="I27" s="629" cm="1">
        <f t="array" ref="I27">IF(I$21="Single-fuel",1,1-MIN(INDEX(CDRANGE_CLS3,$A27-($A$24-1),MATCH(I$20,TECHOPTS_Cls3,0))*OPDAYS_Cls3/$D$6,1))</f>
        <v>1</v>
      </c>
      <c r="J27" s="629" cm="1">
        <f t="array" ref="J27">IF(J$21="Single-fuel",1,1-MIN(INDEX(CDRANGE_CLS3,$A27-($A$24-1),MATCH(J$20,TECHOPTS_Cls3,0))*OPDAYS_Cls3/$D$6,1))</f>
        <v>1</v>
      </c>
      <c r="K27" s="629" cm="1">
        <f t="array" ref="K27">IF(K$21="Single-fuel",1,1-MIN(INDEX(CDRANGE_CLS3,$A27-($A$24-1),MATCH(K$20,TECHOPTS_Cls3,0))*OPDAYS_Cls3/$D$6,1))</f>
        <v>1</v>
      </c>
      <c r="L27" s="629" cm="1">
        <f t="array" ref="L27">IF(L$21="Single-fuel",1,1-MIN(INDEX(CDRANGE_CLS3,$A27-($A$24-1),MATCH(L$20,TECHOPTS_Cls3,0))*OPDAYS_Cls3/$D$6,1))</f>
        <v>1</v>
      </c>
      <c r="M27" s="630" cm="1">
        <f t="array" ref="M27">IF(M$21="Single-fuel",1,1-MIN(INDEX(CDRANGE_CLS3,$A27-($A$24-1),MATCH(M$20,TECHOPTS_Cls3,0))*OPDAYS_Cls3/$D$6,1))</f>
        <v>1</v>
      </c>
      <c r="N27" s="729"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9087.3371474555879</v>
      </c>
      <c r="O27" s="623"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623"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623"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623"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624"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175">
        <f t="shared" si="30"/>
        <v>-38762.412435182145</v>
      </c>
      <c r="U27" s="176">
        <f t="shared" si="31"/>
        <v>-38762.412435182145</v>
      </c>
      <c r="V27" s="176">
        <f t="shared" si="32"/>
        <v>-223913.45959879443</v>
      </c>
      <c r="W27" s="176">
        <f t="shared" si="33"/>
        <v>-223457.3722415161</v>
      </c>
      <c r="X27" s="178">
        <f t="shared" si="34"/>
        <v>-38762.412435182145</v>
      </c>
      <c r="Y27" s="570" cm="1">
        <f t="array" aca="1" ref="Y27" ca="1">IF(AND(Y$22=TRUE,INDEX(CDRANGE_CLS3,MATCH($A27,$A$24:$A$67,0),MATCH(Y$20,$B$20:$G$20,0))&lt;$D$6/OPDAYS_Cls3),86,payback(C27,T27,disc_rate/12,85))</f>
        <v>86</v>
      </c>
      <c r="Z27" s="571" cm="1">
        <f t="array" aca="1" ref="Z27" ca="1">IF(AND(Z$22=TRUE,INDEX(CDRANGE_CLS3,MATCH($A27,$A$24:$A$67,0),MATCH(Z$20,$B$20:$G$20,0))&lt;$D$6/OPDAYS_Cls3),86,payback(D27,U27,disc_rate/12,85))</f>
        <v>86</v>
      </c>
      <c r="AA27" s="571" cm="1">
        <f t="array" ref="AA27">IF(AND(AA$22=TRUE,INDEX(CDRANGE_CLS3,MATCH($A27,$A$24:$A$67,0),MATCH(AA$20,$B$20:$G$20,0))&lt;$D$6/OPDAYS_Cls3),86,payback(E27,V27,disc_rate/12,85))</f>
        <v>86</v>
      </c>
      <c r="AB27" s="571" cm="1">
        <f t="array" aca="1" ref="AB27" ca="1">IF(AND(AB$22=TRUE,INDEX(CDRANGE_CLS3,MATCH($A27,$A$24:$A$67,0),MATCH(AB$20,$B$20:$G$20,0))&lt;$D$6/OPDAYS_Cls3),86,payback(F27,W27,disc_rate/12,85))</f>
        <v>86</v>
      </c>
      <c r="AC27" s="738" cm="1">
        <f t="array" aca="1" ref="AC27" ca="1">IF(AND(AC$22=TRUE,INDEX(CDRANGE_CLS3,MATCH($A27,$A$24:$A$67,0),MATCH(AC$20,$B$20:$G$20,0))&lt;$D$6/OPDAYS_Cls3),86,payback(G27,X27,disc_rate/12,85))</f>
        <v>86</v>
      </c>
      <c r="AD27" s="182">
        <f t="shared" si="35"/>
        <v>0</v>
      </c>
      <c r="AE27" s="183">
        <f t="shared" si="36"/>
        <v>0</v>
      </c>
      <c r="AF27" s="183">
        <f t="shared" si="37"/>
        <v>0</v>
      </c>
      <c r="AG27" s="183">
        <f t="shared" si="38"/>
        <v>0</v>
      </c>
      <c r="AH27" s="606">
        <f t="shared" si="39"/>
        <v>0</v>
      </c>
      <c r="AI27" s="185" cm="1">
        <f t="array" ref="AI27">IF($A27&lt;AI$23,0,AI$21+VLOOKUP($A27-AI$23,SCdata,2,1)*(AI$22-AI$21))*IF($D$5="Non-Central",INDEX(fuel_avail,$A27-$A$24+1,MATCH(O$21,Fuels,0)),1)</f>
        <v>0</v>
      </c>
      <c r="AJ27" s="186" cm="1">
        <f t="array" ref="AJ27">IF($A27&lt;AJ$23,0,AJ$21+VLOOKUP($A27-AJ$23,SCdata,2,1)*(AJ$22-AJ$21))*IF($D$5="Non-Central",INDEX(fuel_avail,$A27-$A$24+1,MATCH(P$21,Fuels,0)),1)</f>
        <v>0</v>
      </c>
      <c r="AK27" s="186" cm="1">
        <f t="array" ref="AK27">IF($A27&lt;AK$23,0,AK$21+VLOOKUP($A27-AK$23,SCdata,2,1)*(AK$22-AK$21))*IF($D$5="Non-Central",INDEX(fuel_avail,$A27-$A$24+1,MATCH(Q$21,Fuels,0)),1)</f>
        <v>0</v>
      </c>
      <c r="AL27" s="186" cm="1">
        <f t="array" ref="AL27">IF($A27&lt;AL$23,0,AL$21+VLOOKUP($A27-AL$23,SCdata,2,1)*(AL$22-AL$21))*IF($D$5="Non-Central",INDEX(fuel_avail,$A27-$A$24+1,MATCH(R$21,Fuels,0)),1)</f>
        <v>0</v>
      </c>
      <c r="AM27" s="187" cm="1">
        <f t="array" ref="AM27">IF($A27&lt;AM$23,0,AM$21+VLOOKUP($A27-AM$23,SCdata,2,1)*(AM$22-AM$21))*IF($D$5="Non-Central",INDEX(fuel_avail,$A27-$A$24+1,MATCH(S$21,Fuels,0)),1)</f>
        <v>0</v>
      </c>
      <c r="AN27" s="185">
        <f t="shared" si="52"/>
        <v>0</v>
      </c>
      <c r="AO27" s="186">
        <f t="shared" si="40"/>
        <v>0</v>
      </c>
      <c r="AP27" s="186">
        <f t="shared" si="40"/>
        <v>0</v>
      </c>
      <c r="AQ27" s="186">
        <f t="shared" si="40"/>
        <v>0</v>
      </c>
      <c r="AR27" s="187">
        <f t="shared" si="40"/>
        <v>0</v>
      </c>
      <c r="AS27" s="182">
        <f t="shared" ca="1" si="41"/>
        <v>0</v>
      </c>
      <c r="AT27" s="183">
        <f t="shared" ca="1" si="42"/>
        <v>0</v>
      </c>
      <c r="AU27" s="183">
        <f t="shared" si="43"/>
        <v>0</v>
      </c>
      <c r="AV27" s="183">
        <f t="shared" ca="1" si="44"/>
        <v>0</v>
      </c>
      <c r="AW27" s="184">
        <f t="shared" ca="1" si="45"/>
        <v>0</v>
      </c>
      <c r="AX27" s="605">
        <f t="shared" ca="1" si="46"/>
        <v>0</v>
      </c>
      <c r="AY27" s="472">
        <f t="shared" ca="1" si="46"/>
        <v>0</v>
      </c>
      <c r="AZ27" s="472">
        <f t="shared" si="46"/>
        <v>0</v>
      </c>
      <c r="BA27" s="472">
        <f t="shared" ca="1" si="46"/>
        <v>0</v>
      </c>
      <c r="BB27" s="492">
        <f t="shared" ca="1" si="46"/>
        <v>0</v>
      </c>
      <c r="BC27" s="182">
        <f t="shared" ca="1" si="53"/>
        <v>1</v>
      </c>
      <c r="BD27" s="183">
        <f t="shared" ca="1" si="47"/>
        <v>0</v>
      </c>
      <c r="BE27" s="183">
        <f t="shared" ca="1" si="48"/>
        <v>0</v>
      </c>
      <c r="BF27" s="183">
        <f t="shared" ca="1" si="49"/>
        <v>0</v>
      </c>
      <c r="BG27" s="183">
        <f t="shared" ca="1" si="50"/>
        <v>0</v>
      </c>
      <c r="BH27" s="184">
        <f t="shared" ca="1" si="51"/>
        <v>0</v>
      </c>
    </row>
    <row r="28" spans="1:60" x14ac:dyDescent="0.2">
      <c r="A28" s="190">
        <v>2011</v>
      </c>
      <c r="B28" s="664" cm="1">
        <f t="array" ref="B28">ROUND(INDEX(COST_Cls3,$A28-($A$24-1),MATCH(B$20,TECHOPTS_Cls3,0)),2)</f>
        <v>81898</v>
      </c>
      <c r="C28" s="665" cm="1">
        <f t="array" ref="C28">ROUND(INDEX(COST_Cls3,$A28-($A$24-1),MATCH(C$20,TECHOPTS_Cls3,0)),2)</f>
        <v>1000000</v>
      </c>
      <c r="D28" s="665" cm="1">
        <f t="array" ref="D28">ROUND(INDEX(COST_Cls3,$A28-($A$24-1),MATCH(D$20,TECHOPTS_Cls3,0)),2)</f>
        <v>1000000</v>
      </c>
      <c r="E28" s="665" cm="1">
        <f t="array" ref="E28">ROUND(INDEX(COST_Cls3,$A28-($A$24-1),MATCH(E$20,TECHOPTS_Cls3,0)),2)</f>
        <v>1000000</v>
      </c>
      <c r="F28" s="665" cm="1">
        <f t="array" ref="F28">ROUND(INDEX(COST_Cls3,$A28-($A$24-1),MATCH(F$20,TECHOPTS_Cls3,0)),2)</f>
        <v>1000000</v>
      </c>
      <c r="G28" s="666" cm="1">
        <f t="array" ref="G28">ROUND(INDEX(COST_Cls3,$A28-($A$24-1),MATCH(G$20,TECHOPTS_Cls3,0)),2)</f>
        <v>1000000</v>
      </c>
      <c r="H28" s="628" cm="1">
        <f t="array" ref="H28">IF(H$21="Single-fuel",1,1-MIN(INDEX(CDRANGE_CLS3,$A28-($A$24-1),MATCH(H$20,TECHOPTS_Cls3,0))*OPDAYS_Cls3/$D$6,1))</f>
        <v>1</v>
      </c>
      <c r="I28" s="629" cm="1">
        <f t="array" ref="I28">IF(I$21="Single-fuel",1,1-MIN(INDEX(CDRANGE_CLS3,$A28-($A$24-1),MATCH(I$20,TECHOPTS_Cls3,0))*OPDAYS_Cls3/$D$6,1))</f>
        <v>1</v>
      </c>
      <c r="J28" s="629" cm="1">
        <f t="array" ref="J28">IF(J$21="Single-fuel",1,1-MIN(INDEX(CDRANGE_CLS3,$A28-($A$24-1),MATCH(J$20,TECHOPTS_Cls3,0))*OPDAYS_Cls3/$D$6,1))</f>
        <v>1</v>
      </c>
      <c r="K28" s="629" cm="1">
        <f t="array" ref="K28">IF(K$21="Single-fuel",1,1-MIN(INDEX(CDRANGE_CLS3,$A28-($A$24-1),MATCH(K$20,TECHOPTS_Cls3,0))*OPDAYS_Cls3/$D$6,1))</f>
        <v>1</v>
      </c>
      <c r="L28" s="629" cm="1">
        <f t="array" ref="L28">IF(L$21="Single-fuel",1,1-MIN(INDEX(CDRANGE_CLS3,$A28-($A$24-1),MATCH(L$20,TECHOPTS_Cls3,0))*OPDAYS_Cls3/$D$6,1))</f>
        <v>1</v>
      </c>
      <c r="M28" s="630" cm="1">
        <f t="array" ref="M28">IF(M$21="Single-fuel",1,1-MIN(INDEX(CDRANGE_CLS3,$A28-($A$24-1),MATCH(M$20,TECHOPTS_Cls3,0))*OPDAYS_Cls3/$D$6,1))</f>
        <v>1</v>
      </c>
      <c r="N28" s="583"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11859.016416962546</v>
      </c>
      <c r="O28" s="479"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479"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479"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479"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592"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583">
        <f t="shared" si="30"/>
        <v>-51486.559542970674</v>
      </c>
      <c r="U28" s="479">
        <f t="shared" si="31"/>
        <v>-51486.559542970674</v>
      </c>
      <c r="V28" s="479">
        <f t="shared" si="32"/>
        <v>-172207.18763303748</v>
      </c>
      <c r="W28" s="479">
        <f t="shared" si="33"/>
        <v>-220685.69297200913</v>
      </c>
      <c r="X28" s="480">
        <f t="shared" si="34"/>
        <v>-51486.559542970674</v>
      </c>
      <c r="Y28" s="481" cm="1">
        <f t="array" aca="1" ref="Y28" ca="1">IF(AND(Y$22=TRUE,INDEX(CDRANGE_CLS3,MATCH($A28,$A$24:$A$67,0),MATCH(Y$20,$B$20:$G$20,0))&lt;$D$6/OPDAYS_Cls3),86,payback(C28,T28,disc_rate/12,85))</f>
        <v>86</v>
      </c>
      <c r="Z28" s="482" cm="1">
        <f t="array" aca="1" ref="Z28" ca="1">IF(AND(Z$22=TRUE,INDEX(CDRANGE_CLS3,MATCH($A28,$A$24:$A$67,0),MATCH(Z$20,$B$20:$G$20,0))&lt;$D$6/OPDAYS_Cls3),86,payback(D28,U28,disc_rate/12,85))</f>
        <v>86</v>
      </c>
      <c r="AA28" s="482" cm="1">
        <f t="array" ref="AA28">IF(AND(AA$22=TRUE,INDEX(CDRANGE_CLS3,MATCH($A28,$A$24:$A$67,0),MATCH(AA$20,$B$20:$G$20,0))&lt;$D$6/OPDAYS_Cls3),86,payback(E28,V28,disc_rate/12,85))</f>
        <v>86</v>
      </c>
      <c r="AB28" s="482" cm="1">
        <f t="array" aca="1" ref="AB28" ca="1">IF(AND(AB$22=TRUE,INDEX(CDRANGE_CLS3,MATCH($A28,$A$24:$A$67,0),MATCH(AB$20,$B$20:$G$20,0))&lt;$D$6/OPDAYS_Cls3),86,payback(F28,W28,disc_rate/12,85))</f>
        <v>86</v>
      </c>
      <c r="AC28" s="739" cm="1">
        <f t="array" aca="1" ref="AC28" ca="1">IF(AND(AC$22=TRUE,INDEX(CDRANGE_CLS3,MATCH($A28,$A$24:$A$67,0),MATCH(AC$20,$B$20:$G$20,0))&lt;$D$6/OPDAYS_Cls3),86,payback(G28,X28,disc_rate/12,85))</f>
        <v>86</v>
      </c>
      <c r="AD28" s="484">
        <f t="shared" si="35"/>
        <v>0</v>
      </c>
      <c r="AE28" s="485">
        <f t="shared" si="36"/>
        <v>0</v>
      </c>
      <c r="AF28" s="485">
        <f t="shared" si="37"/>
        <v>0</v>
      </c>
      <c r="AG28" s="485">
        <f t="shared" si="38"/>
        <v>0</v>
      </c>
      <c r="AH28" s="486">
        <f t="shared" si="39"/>
        <v>0</v>
      </c>
      <c r="AI28" s="487" cm="1">
        <f t="array" ref="AI28">IF($A28&lt;AI$23,0,AI$21+VLOOKUP($A28-AI$23,SCdata,2,1)*(AI$22-AI$21))*IF($D$5="Non-Central",INDEX(fuel_avail,$A28-$A$24+1,MATCH(O$21,Fuels,0)),1)</f>
        <v>0</v>
      </c>
      <c r="AJ28" s="488" cm="1">
        <f t="array" ref="AJ28">IF($A28&lt;AJ$23,0,AJ$21+VLOOKUP($A28-AJ$23,SCdata,2,1)*(AJ$22-AJ$21))*IF($D$5="Non-Central",INDEX(fuel_avail,$A28-$A$24+1,MATCH(P$21,Fuels,0)),1)</f>
        <v>0</v>
      </c>
      <c r="AK28" s="488" cm="1">
        <f t="array" ref="AK28">IF($A28&lt;AK$23,0,AK$21+VLOOKUP($A28-AK$23,SCdata,2,1)*(AK$22-AK$21))*IF($D$5="Non-Central",INDEX(fuel_avail,$A28-$A$24+1,MATCH(Q$21,Fuels,0)),1)</f>
        <v>0</v>
      </c>
      <c r="AL28" s="488" cm="1">
        <f t="array" ref="AL28">IF($A28&lt;AL$23,0,AL$21+VLOOKUP($A28-AL$23,SCdata,2,1)*(AL$22-AL$21))*IF($D$5="Non-Central",INDEX(fuel_avail,$A28-$A$24+1,MATCH(R$21,Fuels,0)),1)</f>
        <v>0</v>
      </c>
      <c r="AM28" s="489" cm="1">
        <f t="array" ref="AM28">IF($A28&lt;AM$23,0,AM$21+VLOOKUP($A28-AM$23,SCdata,2,1)*(AM$22-AM$21))*IF($D$5="Non-Central",INDEX(fuel_avail,$A28-$A$24+1,MATCH(S$21,Fuels,0)),1)</f>
        <v>0</v>
      </c>
      <c r="AN28" s="490">
        <f t="shared" si="52"/>
        <v>0</v>
      </c>
      <c r="AO28" s="488">
        <f t="shared" si="40"/>
        <v>0</v>
      </c>
      <c r="AP28" s="488">
        <f t="shared" si="40"/>
        <v>0</v>
      </c>
      <c r="AQ28" s="488">
        <f t="shared" si="40"/>
        <v>0</v>
      </c>
      <c r="AR28" s="489">
        <f t="shared" si="40"/>
        <v>0</v>
      </c>
      <c r="AS28" s="484">
        <f t="shared" ca="1" si="41"/>
        <v>0</v>
      </c>
      <c r="AT28" s="485">
        <f t="shared" ca="1" si="42"/>
        <v>0</v>
      </c>
      <c r="AU28" s="485">
        <f t="shared" si="43"/>
        <v>0</v>
      </c>
      <c r="AV28" s="485">
        <f t="shared" ca="1" si="44"/>
        <v>0</v>
      </c>
      <c r="AW28" s="486">
        <f t="shared" ca="1" si="45"/>
        <v>0</v>
      </c>
      <c r="AX28" s="484">
        <f t="shared" ca="1" si="46"/>
        <v>0</v>
      </c>
      <c r="AY28" s="485">
        <f t="shared" ca="1" si="46"/>
        <v>0</v>
      </c>
      <c r="AZ28" s="485">
        <f t="shared" si="46"/>
        <v>0</v>
      </c>
      <c r="BA28" s="485">
        <f t="shared" ca="1" si="46"/>
        <v>0</v>
      </c>
      <c r="BB28" s="486">
        <f t="shared" ca="1" si="46"/>
        <v>0</v>
      </c>
      <c r="BC28" s="484">
        <f t="shared" ca="1" si="53"/>
        <v>1</v>
      </c>
      <c r="BD28" s="485">
        <f t="shared" ca="1" si="47"/>
        <v>0</v>
      </c>
      <c r="BE28" s="485">
        <f t="shared" ca="1" si="48"/>
        <v>0</v>
      </c>
      <c r="BF28" s="485">
        <f t="shared" ca="1" si="49"/>
        <v>0</v>
      </c>
      <c r="BG28" s="485">
        <f t="shared" ca="1" si="50"/>
        <v>0</v>
      </c>
      <c r="BH28" s="486">
        <f t="shared" ca="1" si="51"/>
        <v>0</v>
      </c>
    </row>
    <row r="29" spans="1:60" x14ac:dyDescent="0.2">
      <c r="A29" s="189">
        <v>2012</v>
      </c>
      <c r="B29" s="667" cm="1">
        <f t="array" ref="B29">ROUND(INDEX(COST_Cls3,$A29-($A$24-1),MATCH(B$20,TECHOPTS_Cls3,0)),2)</f>
        <v>81898</v>
      </c>
      <c r="C29" s="668" cm="1">
        <f t="array" ref="C29">ROUND(INDEX(COST_Cls3,$A29-($A$24-1),MATCH(C$20,TECHOPTS_Cls3,0)),2)</f>
        <v>1000000</v>
      </c>
      <c r="D29" s="668" cm="1">
        <f t="array" ref="D29">ROUND(INDEX(COST_Cls3,$A29-($A$24-1),MATCH(D$20,TECHOPTS_Cls3,0)),2)</f>
        <v>1000000</v>
      </c>
      <c r="E29" s="668" cm="1">
        <f t="array" ref="E29">ROUND(INDEX(COST_Cls3,$A29-($A$24-1),MATCH(E$20,TECHOPTS_Cls3,0)),2)</f>
        <v>1000000</v>
      </c>
      <c r="F29" s="668" cm="1">
        <f t="array" ref="F29">ROUND(INDEX(COST_Cls3,$A29-($A$24-1),MATCH(F$20,TECHOPTS_Cls3,0)),2)</f>
        <v>1000000</v>
      </c>
      <c r="G29" s="669" cm="1">
        <f t="array" ref="G29">ROUND(INDEX(COST_Cls3,$A29-($A$24-1),MATCH(G$20,TECHOPTS_Cls3,0)),2)</f>
        <v>1000000</v>
      </c>
      <c r="H29" s="628" cm="1">
        <f t="array" ref="H29">IF(H$21="Single-fuel",1,1-MIN(INDEX(CDRANGE_CLS3,$A29-($A$24-1),MATCH(H$20,TECHOPTS_Cls3,0))*OPDAYS_Cls3/$D$6,1))</f>
        <v>1</v>
      </c>
      <c r="I29" s="629" cm="1">
        <f t="array" ref="I29">IF(I$21="Single-fuel",1,1-MIN(INDEX(CDRANGE_CLS3,$A29-($A$24-1),MATCH(I$20,TECHOPTS_Cls3,0))*OPDAYS_Cls3/$D$6,1))</f>
        <v>1</v>
      </c>
      <c r="J29" s="629" cm="1">
        <f t="array" ref="J29">IF(J$21="Single-fuel",1,1-MIN(INDEX(CDRANGE_CLS3,$A29-($A$24-1),MATCH(J$20,TECHOPTS_Cls3,0))*OPDAYS_Cls3/$D$6,1))</f>
        <v>1</v>
      </c>
      <c r="K29" s="629" cm="1">
        <f t="array" ref="K29">IF(K$21="Single-fuel",1,1-MIN(INDEX(CDRANGE_CLS3,$A29-($A$24-1),MATCH(K$20,TECHOPTS_Cls3,0))*OPDAYS_Cls3/$D$6,1))</f>
        <v>1</v>
      </c>
      <c r="L29" s="629" cm="1">
        <f t="array" ref="L29">IF(L$21="Single-fuel",1,1-MIN(INDEX(CDRANGE_CLS3,$A29-($A$24-1),MATCH(L$20,TECHOPTS_Cls3,0))*OPDAYS_Cls3/$D$6,1))</f>
        <v>1</v>
      </c>
      <c r="M29" s="630" cm="1">
        <f t="array" ref="M29">IF(M$21="Single-fuel",1,1-MIN(INDEX(CDRANGE_CLS3,$A29-($A$24-1),MATCH(M$20,TECHOPTS_Cls3,0))*OPDAYS_Cls3/$D$6,1))</f>
        <v>1</v>
      </c>
      <c r="N29" s="580"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12450.2459857551</v>
      </c>
      <c r="O29" s="148"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148"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148"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148"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150"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581">
        <f t="shared" si="30"/>
        <v>-54361.834754873213</v>
      </c>
      <c r="U29" s="162">
        <f t="shared" si="31"/>
        <v>-54361.834754873213</v>
      </c>
      <c r="V29" s="162">
        <f t="shared" si="32"/>
        <v>-144881.79312674486</v>
      </c>
      <c r="W29" s="162">
        <f t="shared" si="33"/>
        <v>-220094.46340321656</v>
      </c>
      <c r="X29" s="163">
        <f t="shared" si="34"/>
        <v>-54361.834754873213</v>
      </c>
      <c r="Y29" s="151" cm="1">
        <f t="array" aca="1" ref="Y29" ca="1">IF(AND(Y$22=TRUE,INDEX(CDRANGE_CLS3,MATCH($A29,$A$24:$A$67,0),MATCH(Y$20,$B$20:$G$20,0))&lt;$D$6/OPDAYS_Cls3),86,payback(C29,T29,disc_rate/12,85))</f>
        <v>86</v>
      </c>
      <c r="Z29" s="152" cm="1">
        <f t="array" aca="1" ref="Z29" ca="1">IF(AND(Z$22=TRUE,INDEX(CDRANGE_CLS3,MATCH($A29,$A$24:$A$67,0),MATCH(Z$20,$B$20:$G$20,0))&lt;$D$6/OPDAYS_Cls3),86,payback(D29,U29,disc_rate/12,85))</f>
        <v>86</v>
      </c>
      <c r="AA29" s="152" cm="1">
        <f t="array" ref="AA29">IF(AND(AA$22=TRUE,INDEX(CDRANGE_CLS3,MATCH($A29,$A$24:$A$67,0),MATCH(AA$20,$B$20:$G$20,0))&lt;$D$6/OPDAYS_Cls3),86,payback(E29,V29,disc_rate/12,85))</f>
        <v>86</v>
      </c>
      <c r="AB29" s="152" cm="1">
        <f t="array" aca="1" ref="AB29" ca="1">IF(AND(AB$22=TRUE,INDEX(CDRANGE_CLS3,MATCH($A29,$A$24:$A$67,0),MATCH(AB$20,$B$20:$G$20,0))&lt;$D$6/OPDAYS_Cls3),86,payback(F29,W29,disc_rate/12,85))</f>
        <v>86</v>
      </c>
      <c r="AC29" s="153" cm="1">
        <f t="array" aca="1" ref="AC29" ca="1">IF(AND(AC$22=TRUE,INDEX(CDRANGE_CLS3,MATCH($A29,$A$24:$A$67,0),MATCH(AC$20,$B$20:$G$20,0))&lt;$D$6/OPDAYS_Cls3),86,payback(G29,X29,disc_rate/12,85))</f>
        <v>86</v>
      </c>
      <c r="AD29" s="168">
        <f t="shared" si="35"/>
        <v>0</v>
      </c>
      <c r="AE29" s="169">
        <f t="shared" si="36"/>
        <v>0</v>
      </c>
      <c r="AF29" s="169">
        <f t="shared" si="37"/>
        <v>0</v>
      </c>
      <c r="AG29" s="169">
        <f t="shared" si="38"/>
        <v>0</v>
      </c>
      <c r="AH29" s="170">
        <f t="shared" si="39"/>
        <v>0</v>
      </c>
      <c r="AI29" s="442" cm="1">
        <f t="array" ref="AI29">IF($A29&lt;AI$23,0,AI$21+VLOOKUP($A29-AI$23,SCdata,2,1)*(AI$22-AI$21))*IF($D$5="Non-Central",INDEX(fuel_avail,$A29-$A$24+1,MATCH(O$21,Fuels,0)),1)</f>
        <v>0</v>
      </c>
      <c r="AJ29" s="172" cm="1">
        <f t="array" ref="AJ29">IF($A29&lt;AJ$23,0,AJ$21+VLOOKUP($A29-AJ$23,SCdata,2,1)*(AJ$22-AJ$21))*IF($D$5="Non-Central",INDEX(fuel_avail,$A29-$A$24+1,MATCH(P$21,Fuels,0)),1)</f>
        <v>0</v>
      </c>
      <c r="AK29" s="172" cm="1">
        <f t="array" ref="AK29">IF($A29&lt;AK$23,0,AK$21+VLOOKUP($A29-AK$23,SCdata,2,1)*(AK$22-AK$21))*IF($D$5="Non-Central",INDEX(fuel_avail,$A29-$A$24+1,MATCH(Q$21,Fuels,0)),1)</f>
        <v>0</v>
      </c>
      <c r="AL29" s="172" cm="1">
        <f t="array" ref="AL29">IF($A29&lt;AL$23,0,AL$21+VLOOKUP($A29-AL$23,SCdata,2,1)*(AL$22-AL$21))*IF($D$5="Non-Central",INDEX(fuel_avail,$A29-$A$24+1,MATCH(R$21,Fuels,0)),1)</f>
        <v>0</v>
      </c>
      <c r="AM29" s="445" cm="1">
        <f t="array" ref="AM29">IF($A29&lt;AM$23,0,AM$21+VLOOKUP($A29-AM$23,SCdata,2,1)*(AM$22-AM$21))*IF($D$5="Non-Central",INDEX(fuel_avail,$A29-$A$24+1,MATCH(S$21,Fuels,0)),1)</f>
        <v>0</v>
      </c>
      <c r="AN29" s="171">
        <f t="shared" si="52"/>
        <v>0</v>
      </c>
      <c r="AO29" s="172">
        <f t="shared" si="40"/>
        <v>0</v>
      </c>
      <c r="AP29" s="172">
        <f t="shared" si="40"/>
        <v>0</v>
      </c>
      <c r="AQ29" s="172">
        <f t="shared" si="40"/>
        <v>0</v>
      </c>
      <c r="AR29" s="445">
        <f t="shared" si="40"/>
        <v>0</v>
      </c>
      <c r="AS29" s="168">
        <f t="shared" ca="1" si="41"/>
        <v>0</v>
      </c>
      <c r="AT29" s="169">
        <f t="shared" ca="1" si="42"/>
        <v>0</v>
      </c>
      <c r="AU29" s="169">
        <f t="shared" si="43"/>
        <v>0</v>
      </c>
      <c r="AV29" s="169">
        <f t="shared" ca="1" si="44"/>
        <v>0</v>
      </c>
      <c r="AW29" s="170">
        <f t="shared" ca="1" si="45"/>
        <v>0</v>
      </c>
      <c r="AX29" s="168">
        <f t="shared" ca="1" si="46"/>
        <v>0</v>
      </c>
      <c r="AY29" s="169">
        <f t="shared" ca="1" si="46"/>
        <v>0</v>
      </c>
      <c r="AZ29" s="169">
        <f t="shared" si="46"/>
        <v>0</v>
      </c>
      <c r="BA29" s="169">
        <f t="shared" ca="1" si="46"/>
        <v>0</v>
      </c>
      <c r="BB29" s="170">
        <f t="shared" ca="1" si="46"/>
        <v>0</v>
      </c>
      <c r="BC29" s="168">
        <f t="shared" ca="1" si="53"/>
        <v>1</v>
      </c>
      <c r="BD29" s="169">
        <f t="shared" ca="1" si="47"/>
        <v>0</v>
      </c>
      <c r="BE29" s="169">
        <f t="shared" ca="1" si="48"/>
        <v>0</v>
      </c>
      <c r="BF29" s="169">
        <f t="shared" ca="1" si="49"/>
        <v>0</v>
      </c>
      <c r="BG29" s="169">
        <f t="shared" ca="1" si="50"/>
        <v>0</v>
      </c>
      <c r="BH29" s="170">
        <f t="shared" ca="1" si="51"/>
        <v>0</v>
      </c>
    </row>
    <row r="30" spans="1:60" x14ac:dyDescent="0.2">
      <c r="A30" s="189">
        <v>2013</v>
      </c>
      <c r="B30" s="667" cm="1">
        <f t="array" ref="B30">ROUND(INDEX(COST_Cls3,$A30-($A$24-1),MATCH(B$20,TECHOPTS_Cls3,0)),2)</f>
        <v>81898</v>
      </c>
      <c r="C30" s="668" cm="1">
        <f t="array" ref="C30">ROUND(INDEX(COST_Cls3,$A30-($A$24-1),MATCH(C$20,TECHOPTS_Cls3,0)),2)</f>
        <v>1000000</v>
      </c>
      <c r="D30" s="668" cm="1">
        <f t="array" ref="D30">ROUND(INDEX(COST_Cls3,$A30-($A$24-1),MATCH(D$20,TECHOPTS_Cls3,0)),2)</f>
        <v>1000000</v>
      </c>
      <c r="E30" s="668" cm="1">
        <f t="array" ref="E30">ROUND(INDEX(COST_Cls3,$A30-($A$24-1),MATCH(E$20,TECHOPTS_Cls3,0)),2)</f>
        <v>1000000</v>
      </c>
      <c r="F30" s="668" cm="1">
        <f t="array" ref="F30">ROUND(INDEX(COST_Cls3,$A30-($A$24-1),MATCH(F$20,TECHOPTS_Cls3,0)),2)</f>
        <v>1000000</v>
      </c>
      <c r="G30" s="669" cm="1">
        <f t="array" ref="G30">ROUND(INDEX(COST_Cls3,$A30-($A$24-1),MATCH(G$20,TECHOPTS_Cls3,0)),2)</f>
        <v>1000000</v>
      </c>
      <c r="H30" s="628" cm="1">
        <f t="array" ref="H30">IF(H$21="Single-fuel",1,1-MIN(INDEX(CDRANGE_CLS3,$A30-($A$24-1),MATCH(H$20,TECHOPTS_Cls3,0))*OPDAYS_Cls3/$D$6,1))</f>
        <v>1</v>
      </c>
      <c r="I30" s="629" cm="1">
        <f t="array" ref="I30">IF(I$21="Single-fuel",1,1-MIN(INDEX(CDRANGE_CLS3,$A30-($A$24-1),MATCH(I$20,TECHOPTS_Cls3,0))*OPDAYS_Cls3/$D$6,1))</f>
        <v>1</v>
      </c>
      <c r="J30" s="629" cm="1">
        <f t="array" ref="J30">IF(J$21="Single-fuel",1,1-MIN(INDEX(CDRANGE_CLS3,$A30-($A$24-1),MATCH(J$20,TECHOPTS_Cls3,0))*OPDAYS_Cls3/$D$6,1))</f>
        <v>1</v>
      </c>
      <c r="K30" s="629" cm="1">
        <f t="array" ref="K30">IF(K$21="Single-fuel",1,1-MIN(INDEX(CDRANGE_CLS3,$A30-($A$24-1),MATCH(K$20,TECHOPTS_Cls3,0))*OPDAYS_Cls3/$D$6,1))</f>
        <v>1</v>
      </c>
      <c r="L30" s="629" cm="1">
        <f t="array" ref="L30">IF(L$21="Single-fuel",1,1-MIN(INDEX(CDRANGE_CLS3,$A30-($A$24-1),MATCH(L$20,TECHOPTS_Cls3,0))*OPDAYS_Cls3/$D$6,1))</f>
        <v>1</v>
      </c>
      <c r="M30" s="630" cm="1">
        <f t="array" ref="M30">IF(M$21="Single-fuel",1,1-MIN(INDEX(CDRANGE_CLS3,$A30-($A$24-1),MATCH(M$20,TECHOPTS_Cls3,0))*OPDAYS_Cls3/$D$6,1))</f>
        <v>1</v>
      </c>
      <c r="N30" s="580"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12365.061014126693</v>
      </c>
      <c r="O30" s="148"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148"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148"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148"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150"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581">
        <f t="shared" si="30"/>
        <v>-54643.460764595409</v>
      </c>
      <c r="U30" s="162">
        <f t="shared" si="31"/>
        <v>-54643.460764595409</v>
      </c>
      <c r="V30" s="162">
        <f t="shared" si="32"/>
        <v>-148905.5622458733</v>
      </c>
      <c r="W30" s="162">
        <f t="shared" si="33"/>
        <v>-220179.64837484498</v>
      </c>
      <c r="X30" s="163">
        <f t="shared" si="34"/>
        <v>-54643.460764595409</v>
      </c>
      <c r="Y30" s="151" cm="1">
        <f t="array" aca="1" ref="Y30" ca="1">IF(AND(Y$22=TRUE,INDEX(CDRANGE_CLS3,MATCH($A30,$A$24:$A$67,0),MATCH(Y$20,$B$20:$G$20,0))&lt;$D$6/OPDAYS_Cls3),86,payback(C30,T30,disc_rate/12,85))</f>
        <v>86</v>
      </c>
      <c r="Z30" s="152" cm="1">
        <f t="array" aca="1" ref="Z30" ca="1">IF(AND(Z$22=TRUE,INDEX(CDRANGE_CLS3,MATCH($A30,$A$24:$A$67,0),MATCH(Z$20,$B$20:$G$20,0))&lt;$D$6/OPDAYS_Cls3),86,payback(D30,U30,disc_rate/12,85))</f>
        <v>86</v>
      </c>
      <c r="AA30" s="152" cm="1">
        <f t="array" ref="AA30">IF(AND(AA$22=TRUE,INDEX(CDRANGE_CLS3,MATCH($A30,$A$24:$A$67,0),MATCH(AA$20,$B$20:$G$20,0))&lt;$D$6/OPDAYS_Cls3),86,payback(E30,V30,disc_rate/12,85))</f>
        <v>86</v>
      </c>
      <c r="AB30" s="152" cm="1">
        <f t="array" aca="1" ref="AB30" ca="1">IF(AND(AB$22=TRUE,INDEX(CDRANGE_CLS3,MATCH($A30,$A$24:$A$67,0),MATCH(AB$20,$B$20:$G$20,0))&lt;$D$6/OPDAYS_Cls3),86,payback(F30,W30,disc_rate/12,85))</f>
        <v>86</v>
      </c>
      <c r="AC30" s="153" cm="1">
        <f t="array" aca="1" ref="AC30" ca="1">IF(AND(AC$22=TRUE,INDEX(CDRANGE_CLS3,MATCH($A30,$A$24:$A$67,0),MATCH(AC$20,$B$20:$G$20,0))&lt;$D$6/OPDAYS_Cls3),86,payback(G30,X30,disc_rate/12,85))</f>
        <v>86</v>
      </c>
      <c r="AD30" s="168">
        <f t="shared" si="35"/>
        <v>0</v>
      </c>
      <c r="AE30" s="169">
        <f t="shared" si="36"/>
        <v>0</v>
      </c>
      <c r="AF30" s="169">
        <f t="shared" si="37"/>
        <v>0</v>
      </c>
      <c r="AG30" s="169">
        <f t="shared" si="38"/>
        <v>0</v>
      </c>
      <c r="AH30" s="170">
        <f t="shared" si="39"/>
        <v>0</v>
      </c>
      <c r="AI30" s="442" cm="1">
        <f t="array" ref="AI30">IF($A30&lt;AI$23,0,AI$21+VLOOKUP($A30-AI$23,SCdata,2,1)*(AI$22-AI$21))*IF($D$5="Non-Central",INDEX(fuel_avail,$A30-$A$24+1,MATCH(O$21,Fuels,0)),1)</f>
        <v>0</v>
      </c>
      <c r="AJ30" s="172" cm="1">
        <f t="array" ref="AJ30">IF($A30&lt;AJ$23,0,AJ$21+VLOOKUP($A30-AJ$23,SCdata,2,1)*(AJ$22-AJ$21))*IF($D$5="Non-Central",INDEX(fuel_avail,$A30-$A$24+1,MATCH(P$21,Fuels,0)),1)</f>
        <v>0</v>
      </c>
      <c r="AK30" s="172" cm="1">
        <f t="array" ref="AK30">IF($A30&lt;AK$23,0,AK$21+VLOOKUP($A30-AK$23,SCdata,2,1)*(AK$22-AK$21))*IF($D$5="Non-Central",INDEX(fuel_avail,$A30-$A$24+1,MATCH(Q$21,Fuels,0)),1)</f>
        <v>0</v>
      </c>
      <c r="AL30" s="172" cm="1">
        <f t="array" ref="AL30">IF($A30&lt;AL$23,0,AL$21+VLOOKUP($A30-AL$23,SCdata,2,1)*(AL$22-AL$21))*IF($D$5="Non-Central",INDEX(fuel_avail,$A30-$A$24+1,MATCH(R$21,Fuels,0)),1)</f>
        <v>0</v>
      </c>
      <c r="AM30" s="445" cm="1">
        <f t="array" ref="AM30">IF($A30&lt;AM$23,0,AM$21+VLOOKUP($A30-AM$23,SCdata,2,1)*(AM$22-AM$21))*IF($D$5="Non-Central",INDEX(fuel_avail,$A30-$A$24+1,MATCH(S$21,Fuels,0)),1)</f>
        <v>0</v>
      </c>
      <c r="AN30" s="171">
        <f t="shared" si="52"/>
        <v>0</v>
      </c>
      <c r="AO30" s="172">
        <f t="shared" si="40"/>
        <v>0</v>
      </c>
      <c r="AP30" s="172">
        <f t="shared" si="40"/>
        <v>0</v>
      </c>
      <c r="AQ30" s="172">
        <f t="shared" si="40"/>
        <v>0</v>
      </c>
      <c r="AR30" s="445">
        <f t="shared" si="40"/>
        <v>0</v>
      </c>
      <c r="AS30" s="168">
        <f t="shared" ca="1" si="41"/>
        <v>0</v>
      </c>
      <c r="AT30" s="169">
        <f t="shared" ca="1" si="42"/>
        <v>0</v>
      </c>
      <c r="AU30" s="169">
        <f t="shared" si="43"/>
        <v>0</v>
      </c>
      <c r="AV30" s="169">
        <f t="shared" ca="1" si="44"/>
        <v>0</v>
      </c>
      <c r="AW30" s="170">
        <f t="shared" ca="1" si="45"/>
        <v>0</v>
      </c>
      <c r="AX30" s="168">
        <f t="shared" ca="1" si="46"/>
        <v>0</v>
      </c>
      <c r="AY30" s="169">
        <f t="shared" ca="1" si="46"/>
        <v>0</v>
      </c>
      <c r="AZ30" s="169">
        <f t="shared" si="46"/>
        <v>0</v>
      </c>
      <c r="BA30" s="169">
        <f t="shared" ca="1" si="46"/>
        <v>0</v>
      </c>
      <c r="BB30" s="170">
        <f t="shared" ca="1" si="46"/>
        <v>0</v>
      </c>
      <c r="BC30" s="168">
        <f t="shared" ca="1" si="53"/>
        <v>1</v>
      </c>
      <c r="BD30" s="169">
        <f t="shared" ca="1" si="47"/>
        <v>0</v>
      </c>
      <c r="BE30" s="169">
        <f t="shared" ca="1" si="48"/>
        <v>0</v>
      </c>
      <c r="BF30" s="169">
        <f t="shared" ca="1" si="49"/>
        <v>0</v>
      </c>
      <c r="BG30" s="169">
        <f t="shared" ca="1" si="50"/>
        <v>0</v>
      </c>
      <c r="BH30" s="170">
        <f t="shared" ca="1" si="51"/>
        <v>0</v>
      </c>
    </row>
    <row r="31" spans="1:60" x14ac:dyDescent="0.2">
      <c r="A31" s="189">
        <v>2014</v>
      </c>
      <c r="B31" s="667" cm="1">
        <f t="array" ref="B31">ROUND(INDEX(COST_Cls3,$A31-($A$24-1),MATCH(B$20,TECHOPTS_Cls3,0)),2)</f>
        <v>81898</v>
      </c>
      <c r="C31" s="668" cm="1">
        <f t="array" ref="C31">ROUND(INDEX(COST_Cls3,$A31-($A$24-1),MATCH(C$20,TECHOPTS_Cls3,0)),2)</f>
        <v>1000000</v>
      </c>
      <c r="D31" s="668" cm="1">
        <f t="array" ref="D31">ROUND(INDEX(COST_Cls3,$A31-($A$24-1),MATCH(D$20,TECHOPTS_Cls3,0)),2)</f>
        <v>1000000</v>
      </c>
      <c r="E31" s="668" cm="1">
        <f t="array" ref="E31">ROUND(INDEX(COST_Cls3,$A31-($A$24-1),MATCH(E$20,TECHOPTS_Cls3,0)),2)</f>
        <v>1000000</v>
      </c>
      <c r="F31" s="668" cm="1">
        <f t="array" ref="F31">ROUND(INDEX(COST_Cls3,$A31-($A$24-1),MATCH(F$20,TECHOPTS_Cls3,0)),2)</f>
        <v>1000000</v>
      </c>
      <c r="G31" s="669" cm="1">
        <f t="array" ref="G31">ROUND(INDEX(COST_Cls3,$A31-($A$24-1),MATCH(G$20,TECHOPTS_Cls3,0)),2)</f>
        <v>1000000</v>
      </c>
      <c r="H31" s="628" cm="1">
        <f t="array" ref="H31">IF(H$21="Single-fuel",1,1-MIN(INDEX(CDRANGE_CLS3,$A31-($A$24-1),MATCH(H$20,TECHOPTS_Cls3,0))*OPDAYS_Cls3/$D$6,1))</f>
        <v>1</v>
      </c>
      <c r="I31" s="629" cm="1">
        <f t="array" ref="I31">IF(I$21="Single-fuel",1,1-MIN(INDEX(CDRANGE_CLS3,$A31-($A$24-1),MATCH(I$20,TECHOPTS_Cls3,0))*OPDAYS_Cls3/$D$6,1))</f>
        <v>1</v>
      </c>
      <c r="J31" s="629" cm="1">
        <f t="array" ref="J31">IF(J$21="Single-fuel",1,1-MIN(INDEX(CDRANGE_CLS3,$A31-($A$24-1),MATCH(J$20,TECHOPTS_Cls3,0))*OPDAYS_Cls3/$D$6,1))</f>
        <v>1</v>
      </c>
      <c r="K31" s="629" cm="1">
        <f t="array" ref="K31">IF(K$21="Single-fuel",1,1-MIN(INDEX(CDRANGE_CLS3,$A31-($A$24-1),MATCH(K$20,TECHOPTS_Cls3,0))*OPDAYS_Cls3/$D$6,1))</f>
        <v>1</v>
      </c>
      <c r="L31" s="629" cm="1">
        <f t="array" ref="L31">IF(L$21="Single-fuel",1,1-MIN(INDEX(CDRANGE_CLS3,$A31-($A$24-1),MATCH(L$20,TECHOPTS_Cls3,0))*OPDAYS_Cls3/$D$6,1))</f>
        <v>1</v>
      </c>
      <c r="M31" s="630" cm="1">
        <f t="array" ref="M31">IF(M$21="Single-fuel",1,1-MIN(INDEX(CDRANGE_CLS3,$A31-($A$24-1),MATCH(M$20,TECHOPTS_Cls3,0))*OPDAYS_Cls3/$D$6,1))</f>
        <v>1</v>
      </c>
      <c r="N31" s="580"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12172.794829892409</v>
      </c>
      <c r="O31" s="148"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148"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148"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148"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150"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581">
        <f t="shared" si="30"/>
        <v>-54234.261438130059</v>
      </c>
      <c r="U31" s="162">
        <f t="shared" si="31"/>
        <v>-54234.261438130059</v>
      </c>
      <c r="V31" s="162">
        <f t="shared" si="32"/>
        <v>-155209.32318635765</v>
      </c>
      <c r="W31" s="162">
        <f t="shared" si="33"/>
        <v>-220371.91455907928</v>
      </c>
      <c r="X31" s="163">
        <f t="shared" si="34"/>
        <v>-54234.261438130059</v>
      </c>
      <c r="Y31" s="151" cm="1">
        <f t="array" aca="1" ref="Y31" ca="1">IF(AND(Y$22=TRUE,INDEX(CDRANGE_CLS3,MATCH($A31,$A$24:$A$67,0),MATCH(Y$20,$B$20:$G$20,0))&lt;$D$6/OPDAYS_Cls3),86,payback(C31,T31,disc_rate/12,85))</f>
        <v>86</v>
      </c>
      <c r="Z31" s="152" cm="1">
        <f t="array" aca="1" ref="Z31" ca="1">IF(AND(Z$22=TRUE,INDEX(CDRANGE_CLS3,MATCH($A31,$A$24:$A$67,0),MATCH(Z$20,$B$20:$G$20,0))&lt;$D$6/OPDAYS_Cls3),86,payback(D31,U31,disc_rate/12,85))</f>
        <v>86</v>
      </c>
      <c r="AA31" s="152" cm="1">
        <f t="array" ref="AA31">IF(AND(AA$22=TRUE,INDEX(CDRANGE_CLS3,MATCH($A31,$A$24:$A$67,0),MATCH(AA$20,$B$20:$G$20,0))&lt;$D$6/OPDAYS_Cls3),86,payback(E31,V31,disc_rate/12,85))</f>
        <v>86</v>
      </c>
      <c r="AB31" s="152" cm="1">
        <f t="array" aca="1" ref="AB31" ca="1">IF(AND(AB$22=TRUE,INDEX(CDRANGE_CLS3,MATCH($A31,$A$24:$A$67,0),MATCH(AB$20,$B$20:$G$20,0))&lt;$D$6/OPDAYS_Cls3),86,payback(F31,W31,disc_rate/12,85))</f>
        <v>86</v>
      </c>
      <c r="AC31" s="153" cm="1">
        <f t="array" aca="1" ref="AC31" ca="1">IF(AND(AC$22=TRUE,INDEX(CDRANGE_CLS3,MATCH($A31,$A$24:$A$67,0),MATCH(AC$20,$B$20:$G$20,0))&lt;$D$6/OPDAYS_Cls3),86,payback(G31,X31,disc_rate/12,85))</f>
        <v>86</v>
      </c>
      <c r="AD31" s="168">
        <f t="shared" si="35"/>
        <v>0</v>
      </c>
      <c r="AE31" s="169">
        <f t="shared" si="36"/>
        <v>0</v>
      </c>
      <c r="AF31" s="169">
        <f t="shared" si="37"/>
        <v>0</v>
      </c>
      <c r="AG31" s="169">
        <f t="shared" si="38"/>
        <v>0</v>
      </c>
      <c r="AH31" s="170">
        <f t="shared" si="39"/>
        <v>0</v>
      </c>
      <c r="AI31" s="442" cm="1">
        <f t="array" ref="AI31">IF($A31&lt;AI$23,0,AI$21+VLOOKUP($A31-AI$23,SCdata,2,1)*(AI$22-AI$21))*IF($D$5="Non-Central",INDEX(fuel_avail,$A31-$A$24+1,MATCH(O$21,Fuels,0)),1)</f>
        <v>0</v>
      </c>
      <c r="AJ31" s="172" cm="1">
        <f t="array" ref="AJ31">IF($A31&lt;AJ$23,0,AJ$21+VLOOKUP($A31-AJ$23,SCdata,2,1)*(AJ$22-AJ$21))*IF($D$5="Non-Central",INDEX(fuel_avail,$A31-$A$24+1,MATCH(P$21,Fuels,0)),1)</f>
        <v>0</v>
      </c>
      <c r="AK31" s="172" cm="1">
        <f t="array" ref="AK31">IF($A31&lt;AK$23,0,AK$21+VLOOKUP($A31-AK$23,SCdata,2,1)*(AK$22-AK$21))*IF($D$5="Non-Central",INDEX(fuel_avail,$A31-$A$24+1,MATCH(Q$21,Fuels,0)),1)</f>
        <v>0</v>
      </c>
      <c r="AL31" s="172" cm="1">
        <f t="array" ref="AL31">IF($A31&lt;AL$23,0,AL$21+VLOOKUP($A31-AL$23,SCdata,2,1)*(AL$22-AL$21))*IF($D$5="Non-Central",INDEX(fuel_avail,$A31-$A$24+1,MATCH(R$21,Fuels,0)),1)</f>
        <v>0</v>
      </c>
      <c r="AM31" s="445" cm="1">
        <f t="array" ref="AM31">IF($A31&lt;AM$23,0,AM$21+VLOOKUP($A31-AM$23,SCdata,2,1)*(AM$22-AM$21))*IF($D$5="Non-Central",INDEX(fuel_avail,$A31-$A$24+1,MATCH(S$21,Fuels,0)),1)</f>
        <v>0</v>
      </c>
      <c r="AN31" s="171">
        <f t="shared" si="52"/>
        <v>0</v>
      </c>
      <c r="AO31" s="172">
        <f t="shared" si="40"/>
        <v>0</v>
      </c>
      <c r="AP31" s="172">
        <f t="shared" si="40"/>
        <v>0</v>
      </c>
      <c r="AQ31" s="172">
        <f t="shared" si="40"/>
        <v>0</v>
      </c>
      <c r="AR31" s="445">
        <f t="shared" si="40"/>
        <v>0</v>
      </c>
      <c r="AS31" s="168">
        <f t="shared" ca="1" si="41"/>
        <v>0</v>
      </c>
      <c r="AT31" s="169">
        <f t="shared" ca="1" si="42"/>
        <v>0</v>
      </c>
      <c r="AU31" s="169">
        <f t="shared" si="43"/>
        <v>0</v>
      </c>
      <c r="AV31" s="169">
        <f t="shared" ca="1" si="44"/>
        <v>0</v>
      </c>
      <c r="AW31" s="170">
        <f t="shared" ca="1" si="45"/>
        <v>0</v>
      </c>
      <c r="AX31" s="168">
        <f t="shared" ca="1" si="46"/>
        <v>0</v>
      </c>
      <c r="AY31" s="169">
        <f t="shared" ca="1" si="46"/>
        <v>0</v>
      </c>
      <c r="AZ31" s="169">
        <f t="shared" si="46"/>
        <v>0</v>
      </c>
      <c r="BA31" s="169">
        <f t="shared" ca="1" si="46"/>
        <v>0</v>
      </c>
      <c r="BB31" s="170">
        <f t="shared" ca="1" si="46"/>
        <v>0</v>
      </c>
      <c r="BC31" s="168">
        <f t="shared" ca="1" si="53"/>
        <v>1</v>
      </c>
      <c r="BD31" s="169">
        <f t="shared" ca="1" si="47"/>
        <v>0</v>
      </c>
      <c r="BE31" s="169">
        <f t="shared" ca="1" si="48"/>
        <v>0</v>
      </c>
      <c r="BF31" s="169">
        <f t="shared" ca="1" si="49"/>
        <v>0</v>
      </c>
      <c r="BG31" s="169">
        <f t="shared" ca="1" si="50"/>
        <v>0</v>
      </c>
      <c r="BH31" s="170">
        <f t="shared" ca="1" si="51"/>
        <v>0</v>
      </c>
    </row>
    <row r="32" spans="1:60" ht="13.5" thickBot="1" x14ac:dyDescent="0.25">
      <c r="A32" s="174">
        <v>2015</v>
      </c>
      <c r="B32" s="670" cm="1">
        <f t="array" ref="B32">ROUND(INDEX(COST_Cls3,$A32-($A$24-1),MATCH(B$20,TECHOPTS_Cls3,0)),2)</f>
        <v>81898</v>
      </c>
      <c r="C32" s="671" cm="1">
        <f t="array" ref="C32">ROUND(INDEX(COST_Cls3,$A32-($A$24-1),MATCH(C$20,TECHOPTS_Cls3,0)),2)</f>
        <v>1000000</v>
      </c>
      <c r="D32" s="671" cm="1">
        <f t="array" ref="D32">ROUND(INDEX(COST_Cls3,$A32-($A$24-1),MATCH(D$20,TECHOPTS_Cls3,0)),2)</f>
        <v>1000000</v>
      </c>
      <c r="E32" s="671" cm="1">
        <f t="array" ref="E32">ROUND(INDEX(COST_Cls3,$A32-($A$24-1),MATCH(E$20,TECHOPTS_Cls3,0)),2)</f>
        <v>1000000</v>
      </c>
      <c r="F32" s="671" cm="1">
        <f t="array" ref="F32">ROUND(INDEX(COST_Cls3,$A32-($A$24-1),MATCH(F$20,TECHOPTS_Cls3,0)),2)</f>
        <v>1000000</v>
      </c>
      <c r="G32" s="672" cm="1">
        <f t="array" ref="G32">ROUND(INDEX(COST_Cls3,$A32-($A$24-1),MATCH(G$20,TECHOPTS_Cls3,0)),2)</f>
        <v>1000000</v>
      </c>
      <c r="H32" s="628" cm="1">
        <f t="array" ref="H32">IF(H$21="Single-fuel",1,1-MIN(INDEX(CDRANGE_CLS3,$A32-($A$24-1),MATCH(H$20,TECHOPTS_Cls3,0))*OPDAYS_Cls3/$D$6,1))</f>
        <v>1</v>
      </c>
      <c r="I32" s="629" cm="1">
        <f t="array" ref="I32">IF(I$21="Single-fuel",1,1-MIN(INDEX(CDRANGE_CLS3,$A32-($A$24-1),MATCH(I$20,TECHOPTS_Cls3,0))*OPDAYS_Cls3/$D$6,1))</f>
        <v>1</v>
      </c>
      <c r="J32" s="629" cm="1">
        <f t="array" ref="J32">IF(J$21="Single-fuel",1,1-MIN(INDEX(CDRANGE_CLS3,$A32-($A$24-1),MATCH(J$20,TECHOPTS_Cls3,0))*OPDAYS_Cls3/$D$6,1))</f>
        <v>1</v>
      </c>
      <c r="K32" s="629" cm="1">
        <f t="array" ref="K32">IF(K$21="Single-fuel",1,1-MIN(INDEX(CDRANGE_CLS3,$A32-($A$24-1),MATCH(K$20,TECHOPTS_Cls3,0))*OPDAYS_Cls3/$D$6,1))</f>
        <v>1</v>
      </c>
      <c r="L32" s="629" cm="1">
        <f t="array" ref="L32">IF(L$21="Single-fuel",1,1-MIN(INDEX(CDRANGE_CLS3,$A32-($A$24-1),MATCH(L$20,TECHOPTS_Cls3,0))*OPDAYS_Cls3/$D$6,1))</f>
        <v>1</v>
      </c>
      <c r="M32" s="630" cm="1">
        <f t="array" ref="M32">IF(M$21="Single-fuel",1,1-MIN(INDEX(CDRANGE_CLS3,$A32-($A$24-1),MATCH(M$20,TECHOPTS_Cls3,0))*OPDAYS_Cls3/$D$6,1))</f>
        <v>1</v>
      </c>
      <c r="N32" s="730"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8524.4601217485306</v>
      </c>
      <c r="O32" s="626"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626"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626"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626"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627"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584">
        <f t="shared" si="30"/>
        <v>-38534.263698254486</v>
      </c>
      <c r="U32" s="176">
        <f t="shared" si="31"/>
        <v>-38534.263698254486</v>
      </c>
      <c r="V32" s="176">
        <f t="shared" si="32"/>
        <v>-144836.92913700145</v>
      </c>
      <c r="W32" s="176">
        <f t="shared" si="33"/>
        <v>-224020.24926722315</v>
      </c>
      <c r="X32" s="177">
        <f t="shared" si="34"/>
        <v>-38534.263698254486</v>
      </c>
      <c r="Y32" s="735" cm="1">
        <f t="array" aca="1" ref="Y32" ca="1">IF(AND(Y$22=TRUE,INDEX(CDRANGE_CLS3,MATCH($A32,$A$24:$A$67,0),MATCH(Y$20,$B$20:$G$20,0))&lt;$D$6/OPDAYS_Cls3),86,payback(C32,T32,disc_rate/12,85))</f>
        <v>86</v>
      </c>
      <c r="Z32" s="736" cm="1">
        <f t="array" aca="1" ref="Z32" ca="1">IF(AND(Z$22=TRUE,INDEX(CDRANGE_CLS3,MATCH($A32,$A$24:$A$67,0),MATCH(Z$20,$B$20:$G$20,0))&lt;$D$6/OPDAYS_Cls3),86,payback(D32,U32,disc_rate/12,85))</f>
        <v>86</v>
      </c>
      <c r="AA32" s="736" cm="1">
        <f t="array" ref="AA32">IF(AND(AA$22=TRUE,INDEX(CDRANGE_CLS3,MATCH($A32,$A$24:$A$67,0),MATCH(AA$20,$B$20:$G$20,0))&lt;$D$6/OPDAYS_Cls3),86,payback(E32,V32,disc_rate/12,85))</f>
        <v>86</v>
      </c>
      <c r="AB32" s="736" cm="1">
        <f t="array" aca="1" ref="AB32" ca="1">IF(AND(AB$22=TRUE,INDEX(CDRANGE_CLS3,MATCH($A32,$A$24:$A$67,0),MATCH(AB$20,$B$20:$G$20,0))&lt;$D$6/OPDAYS_Cls3),86,payback(F32,W32,disc_rate/12,85))</f>
        <v>86</v>
      </c>
      <c r="AC32" s="737" cm="1">
        <f t="array" aca="1" ref="AC32" ca="1">IF(AND(AC$22=TRUE,INDEX(CDRANGE_CLS3,MATCH($A32,$A$24:$A$67,0),MATCH(AC$20,$B$20:$G$20,0))&lt;$D$6/OPDAYS_Cls3),86,payback(G32,X32,disc_rate/12,85))</f>
        <v>86</v>
      </c>
      <c r="AD32" s="182">
        <f t="shared" si="35"/>
        <v>0</v>
      </c>
      <c r="AE32" s="183">
        <f t="shared" si="36"/>
        <v>0</v>
      </c>
      <c r="AF32" s="183">
        <f t="shared" si="37"/>
        <v>0</v>
      </c>
      <c r="AG32" s="183">
        <f t="shared" si="38"/>
        <v>0</v>
      </c>
      <c r="AH32" s="184">
        <f t="shared" si="39"/>
        <v>0</v>
      </c>
      <c r="AI32" s="443" cm="1">
        <f t="array" ref="AI32">IF($A32&lt;AI$23,0,AI$21+VLOOKUP($A32-AI$23,SCdata,2,1)*(AI$22-AI$21))*IF($D$5="Non-Central",INDEX(fuel_avail,$A32-$A$24+1,MATCH(O$21,Fuels,0)),1)</f>
        <v>0</v>
      </c>
      <c r="AJ32" s="186" cm="1">
        <f t="array" ref="AJ32">IF($A32&lt;AJ$23,0,AJ$21+VLOOKUP($A32-AJ$23,SCdata,2,1)*(AJ$22-AJ$21))*IF($D$5="Non-Central",INDEX(fuel_avail,$A32-$A$24+1,MATCH(P$21,Fuels,0)),1)</f>
        <v>0</v>
      </c>
      <c r="AK32" s="186" cm="1">
        <f t="array" ref="AK32">IF($A32&lt;AK$23,0,AK$21+VLOOKUP($A32-AK$23,SCdata,2,1)*(AK$22-AK$21))*IF($D$5="Non-Central",INDEX(fuel_avail,$A32-$A$24+1,MATCH(Q$21,Fuels,0)),1)</f>
        <v>0</v>
      </c>
      <c r="AL32" s="186" cm="1">
        <f t="array" ref="AL32">IF($A32&lt;AL$23,0,AL$21+VLOOKUP($A32-AL$23,SCdata,2,1)*(AL$22-AL$21))*IF($D$5="Non-Central",INDEX(fuel_avail,$A32-$A$24+1,MATCH(R$21,Fuels,0)),1)</f>
        <v>0</v>
      </c>
      <c r="AM32" s="446" cm="1">
        <f t="array" ref="AM32">IF($A32&lt;AM$23,0,AM$21+VLOOKUP($A32-AM$23,SCdata,2,1)*(AM$22-AM$21))*IF($D$5="Non-Central",INDEX(fuel_avail,$A32-$A$24+1,MATCH(S$21,Fuels,0)),1)</f>
        <v>0</v>
      </c>
      <c r="AN32" s="185">
        <f t="shared" si="52"/>
        <v>0</v>
      </c>
      <c r="AO32" s="186">
        <f t="shared" si="40"/>
        <v>0</v>
      </c>
      <c r="AP32" s="186">
        <f t="shared" si="40"/>
        <v>0</v>
      </c>
      <c r="AQ32" s="186">
        <f t="shared" si="40"/>
        <v>0</v>
      </c>
      <c r="AR32" s="446">
        <f t="shared" si="40"/>
        <v>0</v>
      </c>
      <c r="AS32" s="182">
        <f t="shared" ca="1" si="41"/>
        <v>0</v>
      </c>
      <c r="AT32" s="183">
        <f t="shared" ca="1" si="42"/>
        <v>0</v>
      </c>
      <c r="AU32" s="183">
        <f t="shared" si="43"/>
        <v>0</v>
      </c>
      <c r="AV32" s="183">
        <f t="shared" ca="1" si="44"/>
        <v>0</v>
      </c>
      <c r="AW32" s="184">
        <f t="shared" ca="1" si="45"/>
        <v>0</v>
      </c>
      <c r="AX32" s="182">
        <f t="shared" ca="1" si="46"/>
        <v>0</v>
      </c>
      <c r="AY32" s="183">
        <f t="shared" ca="1" si="46"/>
        <v>0</v>
      </c>
      <c r="AZ32" s="183">
        <f t="shared" si="46"/>
        <v>0</v>
      </c>
      <c r="BA32" s="183">
        <f t="shared" ca="1" si="46"/>
        <v>0</v>
      </c>
      <c r="BB32" s="184">
        <f t="shared" ca="1" si="46"/>
        <v>0</v>
      </c>
      <c r="BC32" s="182">
        <f t="shared" ca="1" si="53"/>
        <v>1</v>
      </c>
      <c r="BD32" s="183">
        <f t="shared" ca="1" si="47"/>
        <v>0</v>
      </c>
      <c r="BE32" s="183">
        <f t="shared" ca="1" si="48"/>
        <v>0</v>
      </c>
      <c r="BF32" s="183">
        <f t="shared" ca="1" si="49"/>
        <v>0</v>
      </c>
      <c r="BG32" s="183">
        <f t="shared" ca="1" si="50"/>
        <v>0</v>
      </c>
      <c r="BH32" s="184">
        <f t="shared" ca="1" si="51"/>
        <v>0</v>
      </c>
    </row>
    <row r="33" spans="1:62" x14ac:dyDescent="0.2">
      <c r="A33" s="188">
        <v>2016</v>
      </c>
      <c r="B33" s="673" cm="1">
        <f t="array" ref="B33">ROUND(INDEX(COST_Cls3,$A33-($A$24-1),MATCH(B$20,TECHOPTS_Cls3,0)),2)</f>
        <v>81898</v>
      </c>
      <c r="C33" s="674" cm="1">
        <f t="array" ref="C33">ROUND(INDEX(COST_Cls3,$A33-($A$24-1),MATCH(C$20,TECHOPTS_Cls3,0)),2)</f>
        <v>1000000</v>
      </c>
      <c r="D33" s="674" cm="1">
        <f t="array" ref="D33">ROUND(INDEX(COST_Cls3,$A33-($A$24-1),MATCH(D$20,TECHOPTS_Cls3,0)),2)</f>
        <v>1000000</v>
      </c>
      <c r="E33" s="674" cm="1">
        <f t="array" ref="E33">ROUND(INDEX(COST_Cls3,$A33-($A$24-1),MATCH(E$20,TECHOPTS_Cls3,0)),2)</f>
        <v>1000000</v>
      </c>
      <c r="F33" s="674" cm="1">
        <f t="array" ref="F33">ROUND(INDEX(COST_Cls3,$A33-($A$24-1),MATCH(F$20,TECHOPTS_Cls3,0)),2)</f>
        <v>1000000</v>
      </c>
      <c r="G33" s="675" cm="1">
        <f t="array" ref="G33">ROUND(INDEX(COST_Cls3,$A33-($A$24-1),MATCH(G$20,TECHOPTS_Cls3,0)),2)</f>
        <v>1000000</v>
      </c>
      <c r="H33" s="628" cm="1">
        <f t="array" ref="H33">IF(H$21="Single-fuel",1,1-MIN(INDEX(CDRANGE_CLS3,$A33-($A$24-1),MATCH(H$20,TECHOPTS_Cls3,0))*OPDAYS_Cls3/$D$6,1))</f>
        <v>1</v>
      </c>
      <c r="I33" s="629" cm="1">
        <f t="array" ref="I33">IF(I$21="Single-fuel",1,1-MIN(INDEX(CDRANGE_CLS3,$A33-($A$24-1),MATCH(I$20,TECHOPTS_Cls3,0))*OPDAYS_Cls3/$D$6,1))</f>
        <v>1</v>
      </c>
      <c r="J33" s="629" cm="1">
        <f t="array" ref="J33">IF(J$21="Single-fuel",1,1-MIN(INDEX(CDRANGE_CLS3,$A33-($A$24-1),MATCH(J$20,TECHOPTS_Cls3,0))*OPDAYS_Cls3/$D$6,1))</f>
        <v>1</v>
      </c>
      <c r="K33" s="629" cm="1">
        <f t="array" ref="K33">IF(K$21="Single-fuel",1,1-MIN(INDEX(CDRANGE_CLS3,$A33-($A$24-1),MATCH(K$20,TECHOPTS_Cls3,0))*OPDAYS_Cls3/$D$6,1))</f>
        <v>1</v>
      </c>
      <c r="L33" s="629" cm="1">
        <f t="array" ref="L33">IF(L$21="Single-fuel",1,1-MIN(INDEX(CDRANGE_CLS3,$A33-($A$24-1),MATCH(L$20,TECHOPTS_Cls3,0))*OPDAYS_Cls3/$D$6,1))</f>
        <v>1</v>
      </c>
      <c r="M33" s="630" cm="1">
        <f t="array" ref="M33">IF(M$21="Single-fuel",1,1-MIN(INDEX(CDRANGE_CLS3,$A33-($A$24-1),MATCH(M$20,TECHOPTS_Cls3,0))*OPDAYS_Cls3/$D$6,1))</f>
        <v>1</v>
      </c>
      <c r="N33" s="580"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7286.700902196164</v>
      </c>
      <c r="O33" s="148"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148"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148"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148"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150"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580">
        <f t="shared" si="30"/>
        <v>-33271.077212844059</v>
      </c>
      <c r="U33" s="148">
        <f t="shared" si="31"/>
        <v>-33271.077212844059</v>
      </c>
      <c r="V33" s="148">
        <f t="shared" si="32"/>
        <v>-142953.54826280379</v>
      </c>
      <c r="W33" s="148">
        <f t="shared" si="33"/>
        <v>-215568.64559556838</v>
      </c>
      <c r="X33" s="149">
        <f t="shared" si="34"/>
        <v>-33271.077212844059</v>
      </c>
      <c r="Y33" s="151" cm="1">
        <f t="array" aca="1" ref="Y33" ca="1">IF(AND(Y$22=TRUE,INDEX(CDRANGE_CLS3,MATCH($A33,$A$24:$A$67,0),MATCH(Y$20,$B$20:$G$20,0))&lt;$D$6/OPDAYS_Cls3),86,payback(C33,T33,disc_rate/12,85))</f>
        <v>86</v>
      </c>
      <c r="Z33" s="152" cm="1">
        <f t="array" aca="1" ref="Z33" ca="1">IF(AND(Z$22=TRUE,INDEX(CDRANGE_CLS3,MATCH($A33,$A$24:$A$67,0),MATCH(Z$20,$B$20:$G$20,0))&lt;$D$6/OPDAYS_Cls3),86,payback(D33,U33,disc_rate/12,85))</f>
        <v>86</v>
      </c>
      <c r="AA33" s="152" cm="1">
        <f t="array" ref="AA33">IF(AND(AA$22=TRUE,INDEX(CDRANGE_CLS3,MATCH($A33,$A$24:$A$67,0),MATCH(AA$20,$B$20:$G$20,0))&lt;$D$6/OPDAYS_Cls3),86,payback(E33,V33,disc_rate/12,85))</f>
        <v>86</v>
      </c>
      <c r="AB33" s="152" cm="1">
        <f t="array" aca="1" ref="AB33" ca="1">IF(AND(AB$22=TRUE,INDEX(CDRANGE_CLS3,MATCH($A33,$A$24:$A$67,0),MATCH(AB$20,$B$20:$G$20,0))&lt;$D$6/OPDAYS_Cls3),86,payback(F33,W33,disc_rate/12,85))</f>
        <v>86</v>
      </c>
      <c r="AC33" s="153" cm="1">
        <f t="array" aca="1" ref="AC33" ca="1">IF(AND(AC$22=TRUE,INDEX(CDRANGE_CLS3,MATCH($A33,$A$24:$A$67,0),MATCH(AC$20,$B$20:$G$20,0))&lt;$D$6/OPDAYS_Cls3),86,payback(G33,X33,disc_rate/12,85))</f>
        <v>86</v>
      </c>
      <c r="AD33" s="154">
        <f t="shared" si="35"/>
        <v>0</v>
      </c>
      <c r="AE33" s="155">
        <f t="shared" si="36"/>
        <v>0</v>
      </c>
      <c r="AF33" s="155">
        <f t="shared" si="37"/>
        <v>0</v>
      </c>
      <c r="AG33" s="155">
        <f t="shared" si="38"/>
        <v>0</v>
      </c>
      <c r="AH33" s="156">
        <f t="shared" si="39"/>
        <v>0</v>
      </c>
      <c r="AI33" s="441" cm="1">
        <f t="array" ref="AI33">IF($A33&lt;AI$23,0,AI$21+VLOOKUP($A33-AI$23,SCdata,2,1)*(AI$22-AI$21))*IF($D$5="Non-Central",INDEX(fuel_avail,$A33-$A$24+1,MATCH(O$21,Fuels,0)),1)</f>
        <v>0</v>
      </c>
      <c r="AJ33" s="158" cm="1">
        <f t="array" ref="AJ33">IF($A33&lt;AJ$23,0,AJ$21+VLOOKUP($A33-AJ$23,SCdata,2,1)*(AJ$22-AJ$21))*IF($D$5="Non-Central",INDEX(fuel_avail,$A33-$A$24+1,MATCH(P$21,Fuels,0)),1)</f>
        <v>0</v>
      </c>
      <c r="AK33" s="158" cm="1">
        <f t="array" ref="AK33">IF($A33&lt;AK$23,0,AK$21+VLOOKUP($A33-AK$23,SCdata,2,1)*(AK$22-AK$21))*IF($D$5="Non-Central",INDEX(fuel_avail,$A33-$A$24+1,MATCH(Q$21,Fuels,0)),1)</f>
        <v>0</v>
      </c>
      <c r="AL33" s="158" cm="1">
        <f t="array" ref="AL33">IF($A33&lt;AL$23,0,AL$21+VLOOKUP($A33-AL$23,SCdata,2,1)*(AL$22-AL$21))*IF($D$5="Non-Central",INDEX(fuel_avail,$A33-$A$24+1,MATCH(R$21,Fuels,0)),1)</f>
        <v>0</v>
      </c>
      <c r="AM33" s="458" cm="1">
        <f t="array" ref="AM33">IF($A33&lt;AM$23,0,AM$21+VLOOKUP($A33-AM$23,SCdata,2,1)*(AM$22-AM$21))*IF($D$5="Non-Central",INDEX(fuel_avail,$A33-$A$24+1,MATCH(S$21,Fuels,0)),1)</f>
        <v>0</v>
      </c>
      <c r="AN33" s="157">
        <f t="shared" si="52"/>
        <v>0</v>
      </c>
      <c r="AO33" s="158">
        <f t="shared" si="40"/>
        <v>0</v>
      </c>
      <c r="AP33" s="158">
        <f t="shared" si="40"/>
        <v>0</v>
      </c>
      <c r="AQ33" s="158">
        <f t="shared" si="40"/>
        <v>0</v>
      </c>
      <c r="AR33" s="458">
        <f t="shared" si="40"/>
        <v>0</v>
      </c>
      <c r="AS33" s="154">
        <f t="shared" ca="1" si="41"/>
        <v>0</v>
      </c>
      <c r="AT33" s="155">
        <f t="shared" ca="1" si="42"/>
        <v>0</v>
      </c>
      <c r="AU33" s="155">
        <f t="shared" si="43"/>
        <v>0</v>
      </c>
      <c r="AV33" s="155">
        <f t="shared" ca="1" si="44"/>
        <v>0</v>
      </c>
      <c r="AW33" s="156">
        <f t="shared" ca="1" si="45"/>
        <v>0</v>
      </c>
      <c r="AX33" s="154">
        <f t="shared" ca="1" si="46"/>
        <v>0</v>
      </c>
      <c r="AY33" s="155">
        <f t="shared" ca="1" si="46"/>
        <v>0</v>
      </c>
      <c r="AZ33" s="155">
        <f t="shared" si="46"/>
        <v>0</v>
      </c>
      <c r="BA33" s="155">
        <f t="shared" ca="1" si="46"/>
        <v>0</v>
      </c>
      <c r="BB33" s="156">
        <f t="shared" ca="1" si="46"/>
        <v>0</v>
      </c>
      <c r="BC33" s="154">
        <f t="shared" ca="1" si="53"/>
        <v>1</v>
      </c>
      <c r="BD33" s="155">
        <f t="shared" ca="1" si="47"/>
        <v>0</v>
      </c>
      <c r="BE33" s="155">
        <f t="shared" ca="1" si="48"/>
        <v>0</v>
      </c>
      <c r="BF33" s="155">
        <f t="shared" ca="1" si="49"/>
        <v>0</v>
      </c>
      <c r="BG33" s="155">
        <f t="shared" ca="1" si="50"/>
        <v>0</v>
      </c>
      <c r="BH33" s="156">
        <f t="shared" ca="1" si="51"/>
        <v>0</v>
      </c>
    </row>
    <row r="34" spans="1:62" x14ac:dyDescent="0.2">
      <c r="A34" s="189">
        <v>2017</v>
      </c>
      <c r="B34" s="667" cm="1">
        <f t="array" ref="B34">ROUND(INDEX(COST_Cls3,$A34-($A$24-1),MATCH(B$20,TECHOPTS_Cls3,0)),2)</f>
        <v>81898</v>
      </c>
      <c r="C34" s="668" cm="1">
        <f t="array" ref="C34">ROUND(INDEX(COST_Cls3,$A34-($A$24-1),MATCH(C$20,TECHOPTS_Cls3,0)),2)</f>
        <v>1000000</v>
      </c>
      <c r="D34" s="668" cm="1">
        <f t="array" ref="D34">ROUND(INDEX(COST_Cls3,$A34-($A$24-1),MATCH(D$20,TECHOPTS_Cls3,0)),2)</f>
        <v>1000000</v>
      </c>
      <c r="E34" s="668" cm="1">
        <f t="array" ref="E34">ROUND(INDEX(COST_Cls3,$A34-($A$24-1),MATCH(E$20,TECHOPTS_Cls3,0)),2)</f>
        <v>1000000</v>
      </c>
      <c r="F34" s="668" cm="1">
        <f t="array" ref="F34">ROUND(INDEX(COST_Cls3,$A34-($A$24-1),MATCH(F$20,TECHOPTS_Cls3,0)),2)</f>
        <v>1000000</v>
      </c>
      <c r="G34" s="669" cm="1">
        <f t="array" ref="G34">ROUND(INDEX(COST_Cls3,$A34-($A$24-1),MATCH(G$20,TECHOPTS_Cls3,0)),2)</f>
        <v>1000000</v>
      </c>
      <c r="H34" s="628" cm="1">
        <f t="array" ref="H34">IF(H$21="Single-fuel",1,1-MIN(INDEX(CDRANGE_CLS3,$A34-($A$24-1),MATCH(H$20,TECHOPTS_Cls3,0))*OPDAYS_Cls3/$D$6,1))</f>
        <v>1</v>
      </c>
      <c r="I34" s="629" cm="1">
        <f t="array" ref="I34">IF(I$21="Single-fuel",1,1-MIN(INDEX(CDRANGE_CLS3,$A34-($A$24-1),MATCH(I$20,TECHOPTS_Cls3,0))*OPDAYS_Cls3/$D$6,1))</f>
        <v>1</v>
      </c>
      <c r="J34" s="629" cm="1">
        <f t="array" ref="J34">IF(J$21="Single-fuel",1,1-MIN(INDEX(CDRANGE_CLS3,$A34-($A$24-1),MATCH(J$20,TECHOPTS_Cls3,0))*OPDAYS_Cls3/$D$6,1))</f>
        <v>1</v>
      </c>
      <c r="K34" s="629" cm="1">
        <f t="array" ref="K34">IF(K$21="Single-fuel",1,1-MIN(INDEX(CDRANGE_CLS3,$A34-($A$24-1),MATCH(K$20,TECHOPTS_Cls3,0))*OPDAYS_Cls3/$D$6,1))</f>
        <v>1</v>
      </c>
      <c r="L34" s="629" cm="1">
        <f t="array" ref="L34">IF(L$21="Single-fuel",1,1-MIN(INDEX(CDRANGE_CLS3,$A34-($A$24-1),MATCH(L$20,TECHOPTS_Cls3,0))*OPDAYS_Cls3/$D$6,1))</f>
        <v>1</v>
      </c>
      <c r="M34" s="630" cm="1">
        <f t="array" ref="M34">IF(M$21="Single-fuel",1,1-MIN(INDEX(CDRANGE_CLS3,$A34-($A$24-1),MATCH(M$20,TECHOPTS_Cls3,0))*OPDAYS_Cls3/$D$6,1))</f>
        <v>1</v>
      </c>
      <c r="N34" s="580"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8433.3382350201191</v>
      </c>
      <c r="O34" s="148"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148"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148"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148"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150"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581">
        <f t="shared" si="30"/>
        <v>-39210.556893223926</v>
      </c>
      <c r="U34" s="162">
        <f t="shared" si="31"/>
        <v>-39210.556893223926</v>
      </c>
      <c r="V34" s="162">
        <f t="shared" si="32"/>
        <v>-142930.58897997986</v>
      </c>
      <c r="W34" s="162">
        <f t="shared" si="33"/>
        <v>-204732.64537153725</v>
      </c>
      <c r="X34" s="163">
        <f t="shared" si="34"/>
        <v>-39210.556893223926</v>
      </c>
      <c r="Y34" s="151" cm="1">
        <f t="array" aca="1" ref="Y34" ca="1">IF(AND(Y$22=TRUE,INDEX(CDRANGE_CLS3,MATCH($A34,$A$24:$A$67,0),MATCH(Y$20,$B$20:$G$20,0))&lt;$D$6/OPDAYS_Cls3),86,payback(C34,T34,disc_rate/12,85))</f>
        <v>86</v>
      </c>
      <c r="Z34" s="152" cm="1">
        <f t="array" aca="1" ref="Z34" ca="1">IF(AND(Z$22=TRUE,INDEX(CDRANGE_CLS3,MATCH($A34,$A$24:$A$67,0),MATCH(Z$20,$B$20:$G$20,0))&lt;$D$6/OPDAYS_Cls3),86,payback(D34,U34,disc_rate/12,85))</f>
        <v>86</v>
      </c>
      <c r="AA34" s="152" cm="1">
        <f t="array" ref="AA34">IF(AND(AA$22=TRUE,INDEX(CDRANGE_CLS3,MATCH($A34,$A$24:$A$67,0),MATCH(AA$20,$B$20:$G$20,0))&lt;$D$6/OPDAYS_Cls3),86,payback(E34,V34,disc_rate/12,85))</f>
        <v>86</v>
      </c>
      <c r="AB34" s="152" cm="1">
        <f t="array" aca="1" ref="AB34" ca="1">IF(AND(AB$22=TRUE,INDEX(CDRANGE_CLS3,MATCH($A34,$A$24:$A$67,0),MATCH(AB$20,$B$20:$G$20,0))&lt;$D$6/OPDAYS_Cls3),86,payback(F34,W34,disc_rate/12,85))</f>
        <v>86</v>
      </c>
      <c r="AC34" s="153" cm="1">
        <f t="array" aca="1" ref="AC34" ca="1">IF(AND(AC$22=TRUE,INDEX(CDRANGE_CLS3,MATCH($A34,$A$24:$A$67,0),MATCH(AC$20,$B$20:$G$20,0))&lt;$D$6/OPDAYS_Cls3),86,payback(G34,X34,disc_rate/12,85))</f>
        <v>86</v>
      </c>
      <c r="AD34" s="168">
        <f t="shared" si="35"/>
        <v>0</v>
      </c>
      <c r="AE34" s="169">
        <f t="shared" si="36"/>
        <v>0</v>
      </c>
      <c r="AF34" s="169">
        <f t="shared" si="37"/>
        <v>0</v>
      </c>
      <c r="AG34" s="169">
        <f t="shared" si="38"/>
        <v>0</v>
      </c>
      <c r="AH34" s="170">
        <f t="shared" si="39"/>
        <v>0</v>
      </c>
      <c r="AI34" s="442" cm="1">
        <f t="array" ref="AI34">IF($A34&lt;AI$23,0,AI$21+VLOOKUP($A34-AI$23,SCdata,2,1)*(AI$22-AI$21))*IF($D$5="Non-Central",INDEX(fuel_avail,$A34-$A$24+1,MATCH(O$21,Fuels,0)),1)</f>
        <v>0</v>
      </c>
      <c r="AJ34" s="172" cm="1">
        <f t="array" ref="AJ34">IF($A34&lt;AJ$23,0,AJ$21+VLOOKUP($A34-AJ$23,SCdata,2,1)*(AJ$22-AJ$21))*IF($D$5="Non-Central",INDEX(fuel_avail,$A34-$A$24+1,MATCH(P$21,Fuels,0)),1)</f>
        <v>0</v>
      </c>
      <c r="AK34" s="172" cm="1">
        <f t="array" ref="AK34">IF($A34&lt;AK$23,0,AK$21+VLOOKUP($A34-AK$23,SCdata,2,1)*(AK$22-AK$21))*IF($D$5="Non-Central",INDEX(fuel_avail,$A34-$A$24+1,MATCH(Q$21,Fuels,0)),1)</f>
        <v>0</v>
      </c>
      <c r="AL34" s="172" cm="1">
        <f t="array" ref="AL34">IF($A34&lt;AL$23,0,AL$21+VLOOKUP($A34-AL$23,SCdata,2,1)*(AL$22-AL$21))*IF($D$5="Non-Central",INDEX(fuel_avail,$A34-$A$24+1,MATCH(R$21,Fuels,0)),1)</f>
        <v>0</v>
      </c>
      <c r="AM34" s="445" cm="1">
        <f t="array" ref="AM34">IF($A34&lt;AM$23,0,AM$21+VLOOKUP($A34-AM$23,SCdata,2,1)*(AM$22-AM$21))*IF($D$5="Non-Central",INDEX(fuel_avail,$A34-$A$24+1,MATCH(S$21,Fuels,0)),1)</f>
        <v>0</v>
      </c>
      <c r="AN34" s="171">
        <f t="shared" si="52"/>
        <v>0</v>
      </c>
      <c r="AO34" s="172">
        <f t="shared" si="40"/>
        <v>0</v>
      </c>
      <c r="AP34" s="172">
        <f t="shared" si="40"/>
        <v>0</v>
      </c>
      <c r="AQ34" s="172">
        <f t="shared" si="40"/>
        <v>0</v>
      </c>
      <c r="AR34" s="445">
        <f t="shared" si="40"/>
        <v>0</v>
      </c>
      <c r="AS34" s="168">
        <f t="shared" ca="1" si="41"/>
        <v>0</v>
      </c>
      <c r="AT34" s="169">
        <f t="shared" ca="1" si="42"/>
        <v>0</v>
      </c>
      <c r="AU34" s="169">
        <f t="shared" si="43"/>
        <v>0</v>
      </c>
      <c r="AV34" s="169">
        <f t="shared" ca="1" si="44"/>
        <v>0</v>
      </c>
      <c r="AW34" s="170">
        <f t="shared" ca="1" si="45"/>
        <v>0</v>
      </c>
      <c r="AX34" s="168">
        <f t="shared" ca="1" si="46"/>
        <v>0</v>
      </c>
      <c r="AY34" s="169">
        <f t="shared" ca="1" si="46"/>
        <v>0</v>
      </c>
      <c r="AZ34" s="169">
        <f t="shared" si="46"/>
        <v>0</v>
      </c>
      <c r="BA34" s="169">
        <f t="shared" ca="1" si="46"/>
        <v>0</v>
      </c>
      <c r="BB34" s="170">
        <f t="shared" ca="1" si="46"/>
        <v>0</v>
      </c>
      <c r="BC34" s="168">
        <f t="shared" ca="1" si="53"/>
        <v>1</v>
      </c>
      <c r="BD34" s="169">
        <f t="shared" ca="1" si="47"/>
        <v>0</v>
      </c>
      <c r="BE34" s="169">
        <f t="shared" ca="1" si="48"/>
        <v>0</v>
      </c>
      <c r="BF34" s="169">
        <f t="shared" ca="1" si="49"/>
        <v>0</v>
      </c>
      <c r="BG34" s="169">
        <f t="shared" ca="1" si="50"/>
        <v>0</v>
      </c>
      <c r="BH34" s="170">
        <f t="shared" ca="1" si="51"/>
        <v>0</v>
      </c>
    </row>
    <row r="35" spans="1:62" x14ac:dyDescent="0.2">
      <c r="A35" s="189">
        <v>2018</v>
      </c>
      <c r="B35" s="667" cm="1">
        <f t="array" ref="B35">ROUND(INDEX(COST_Cls3,$A35-($A$24-1),MATCH(B$20,TECHOPTS_Cls3,0)),2)</f>
        <v>81898</v>
      </c>
      <c r="C35" s="668" cm="1">
        <f t="array" ref="C35">ROUND(INDEX(COST_Cls3,$A35-($A$24-1),MATCH(C$20,TECHOPTS_Cls3,0)),2)</f>
        <v>1000000</v>
      </c>
      <c r="D35" s="668" cm="1">
        <f t="array" ref="D35">ROUND(INDEX(COST_Cls3,$A35-($A$24-1),MATCH(D$20,TECHOPTS_Cls3,0)),2)</f>
        <v>1000000</v>
      </c>
      <c r="E35" s="668" cm="1">
        <f t="array" ref="E35">ROUND(INDEX(COST_Cls3,$A35-($A$24-1),MATCH(E$20,TECHOPTS_Cls3,0)),2)</f>
        <v>1000000</v>
      </c>
      <c r="F35" s="668" cm="1">
        <f t="array" ref="F35">ROUND(INDEX(COST_Cls3,$A35-($A$24-1),MATCH(F$20,TECHOPTS_Cls3,0)),2)</f>
        <v>1000000</v>
      </c>
      <c r="G35" s="669" cm="1">
        <f t="array" ref="G35">ROUND(INDEX(COST_Cls3,$A35-($A$24-1),MATCH(G$20,TECHOPTS_Cls3,0)),2)</f>
        <v>1000000</v>
      </c>
      <c r="H35" s="628" cm="1">
        <f t="array" ref="H35">IF(H$21="Single-fuel",1,1-MIN(INDEX(CDRANGE_CLS3,$A35-($A$24-1),MATCH(H$20,TECHOPTS_Cls3,0))*OPDAYS_Cls3/$D$6,1))</f>
        <v>1</v>
      </c>
      <c r="I35" s="629" cm="1">
        <f t="array" ref="I35">IF(I$21="Single-fuel",1,1-MIN(INDEX(CDRANGE_CLS3,$A35-($A$24-1),MATCH(I$20,TECHOPTS_Cls3,0))*OPDAYS_Cls3/$D$6,1))</f>
        <v>1</v>
      </c>
      <c r="J35" s="629" cm="1">
        <f t="array" ref="J35">IF(J$21="Single-fuel",1,1-MIN(INDEX(CDRANGE_CLS3,$A35-($A$24-1),MATCH(J$20,TECHOPTS_Cls3,0))*OPDAYS_Cls3/$D$6,1))</f>
        <v>1</v>
      </c>
      <c r="K35" s="629" cm="1">
        <f t="array" ref="K35">IF(K$21="Single-fuel",1,1-MIN(INDEX(CDRANGE_CLS3,$A35-($A$24-1),MATCH(K$20,TECHOPTS_Cls3,0))*OPDAYS_Cls3/$D$6,1))</f>
        <v>1</v>
      </c>
      <c r="L35" s="629" cm="1">
        <f t="array" ref="L35">IF(L$21="Single-fuel",1,1-MIN(INDEX(CDRANGE_CLS3,$A35-($A$24-1),MATCH(L$20,TECHOPTS_Cls3,0))*OPDAYS_Cls3/$D$6,1))</f>
        <v>1</v>
      </c>
      <c r="M35" s="630" cm="1">
        <f t="array" ref="M35">IF(M$21="Single-fuel",1,1-MIN(INDEX(CDRANGE_CLS3,$A35-($A$24-1),MATCH(M$20,TECHOPTS_Cls3,0))*OPDAYS_Cls3/$D$6,1))</f>
        <v>1</v>
      </c>
      <c r="N35" s="580"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9879.9549585433797</v>
      </c>
      <c r="O35" s="148"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148"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148"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148"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150"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581">
        <f t="shared" si="30"/>
        <v>-48649.457698916027</v>
      </c>
      <c r="U35" s="162">
        <f t="shared" si="31"/>
        <v>-48649.457698916027</v>
      </c>
      <c r="V35" s="162">
        <f t="shared" si="32"/>
        <v>-163256.50878145662</v>
      </c>
      <c r="W35" s="162">
        <f t="shared" si="33"/>
        <v>-193596.66575680685</v>
      </c>
      <c r="X35" s="163">
        <f t="shared" si="34"/>
        <v>-48649.457698916027</v>
      </c>
      <c r="Y35" s="151" cm="1">
        <f t="array" aca="1" ref="Y35" ca="1">IF(AND(Y$22=TRUE,INDEX(CDRANGE_CLS3,MATCH($A35,$A$24:$A$67,0),MATCH(Y$20,$B$20:$G$20,0))&lt;$D$6/OPDAYS_Cls3),86,payback(C35,T35,disc_rate/12,85))</f>
        <v>86</v>
      </c>
      <c r="Z35" s="152" cm="1">
        <f t="array" aca="1" ref="Z35" ca="1">IF(AND(Z$22=TRUE,INDEX(CDRANGE_CLS3,MATCH($A35,$A$24:$A$67,0),MATCH(Z$20,$B$20:$G$20,0))&lt;$D$6/OPDAYS_Cls3),86,payback(D35,U35,disc_rate/12,85))</f>
        <v>86</v>
      </c>
      <c r="AA35" s="152" cm="1">
        <f t="array" ref="AA35">IF(AND(AA$22=TRUE,INDEX(CDRANGE_CLS3,MATCH($A35,$A$24:$A$67,0),MATCH(AA$20,$B$20:$G$20,0))&lt;$D$6/OPDAYS_Cls3),86,payback(E35,V35,disc_rate/12,85))</f>
        <v>86</v>
      </c>
      <c r="AB35" s="152" cm="1">
        <f t="array" aca="1" ref="AB35" ca="1">IF(AND(AB$22=TRUE,INDEX(CDRANGE_CLS3,MATCH($A35,$A$24:$A$67,0),MATCH(AB$20,$B$20:$G$20,0))&lt;$D$6/OPDAYS_Cls3),86,payback(F35,W35,disc_rate/12,85))</f>
        <v>86</v>
      </c>
      <c r="AC35" s="153" cm="1">
        <f t="array" aca="1" ref="AC35" ca="1">IF(AND(AC$22=TRUE,INDEX(CDRANGE_CLS3,MATCH($A35,$A$24:$A$67,0),MATCH(AC$20,$B$20:$G$20,0))&lt;$D$6/OPDAYS_Cls3),86,payback(G35,X35,disc_rate/12,85))</f>
        <v>86</v>
      </c>
      <c r="AD35" s="168">
        <f t="shared" si="35"/>
        <v>0</v>
      </c>
      <c r="AE35" s="169">
        <f t="shared" si="36"/>
        <v>0</v>
      </c>
      <c r="AF35" s="169">
        <f t="shared" si="37"/>
        <v>0</v>
      </c>
      <c r="AG35" s="169">
        <f t="shared" si="38"/>
        <v>0</v>
      </c>
      <c r="AH35" s="170">
        <f t="shared" si="39"/>
        <v>0</v>
      </c>
      <c r="AI35" s="442" cm="1">
        <f t="array" ref="AI35">IF($A35&lt;AI$23,0,AI$21+VLOOKUP($A35-AI$23,SCdata,2,1)*(AI$22-AI$21))*IF($D$5="Non-Central",INDEX(fuel_avail,$A35-$A$24+1,MATCH(O$21,Fuels,0)),1)</f>
        <v>0</v>
      </c>
      <c r="AJ35" s="172" cm="1">
        <f t="array" ref="AJ35">IF($A35&lt;AJ$23,0,AJ$21+VLOOKUP($A35-AJ$23,SCdata,2,1)*(AJ$22-AJ$21))*IF($D$5="Non-Central",INDEX(fuel_avail,$A35-$A$24+1,MATCH(P$21,Fuels,0)),1)</f>
        <v>0</v>
      </c>
      <c r="AK35" s="172" cm="1">
        <f t="array" ref="AK35">IF($A35&lt;AK$23,0,AK$21+VLOOKUP($A35-AK$23,SCdata,2,1)*(AK$22-AK$21))*IF($D$5="Non-Central",INDEX(fuel_avail,$A35-$A$24+1,MATCH(Q$21,Fuels,0)),1)</f>
        <v>0</v>
      </c>
      <c r="AL35" s="172" cm="1">
        <f t="array" ref="AL35">IF($A35&lt;AL$23,0,AL$21+VLOOKUP($A35-AL$23,SCdata,2,1)*(AL$22-AL$21))*IF($D$5="Non-Central",INDEX(fuel_avail,$A35-$A$24+1,MATCH(R$21,Fuels,0)),1)</f>
        <v>0</v>
      </c>
      <c r="AM35" s="445" cm="1">
        <f t="array" ref="AM35">IF($A35&lt;AM$23,0,AM$21+VLOOKUP($A35-AM$23,SCdata,2,1)*(AM$22-AM$21))*IF($D$5="Non-Central",INDEX(fuel_avail,$A35-$A$24+1,MATCH(S$21,Fuels,0)),1)</f>
        <v>0</v>
      </c>
      <c r="AN35" s="171">
        <f t="shared" si="52"/>
        <v>0</v>
      </c>
      <c r="AO35" s="172">
        <f t="shared" si="40"/>
        <v>0</v>
      </c>
      <c r="AP35" s="172">
        <f t="shared" si="40"/>
        <v>0</v>
      </c>
      <c r="AQ35" s="172">
        <f t="shared" si="40"/>
        <v>0</v>
      </c>
      <c r="AR35" s="445">
        <f t="shared" si="40"/>
        <v>0</v>
      </c>
      <c r="AS35" s="168">
        <f t="shared" ca="1" si="41"/>
        <v>0</v>
      </c>
      <c r="AT35" s="169">
        <f t="shared" ca="1" si="42"/>
        <v>0</v>
      </c>
      <c r="AU35" s="169">
        <f t="shared" si="43"/>
        <v>0</v>
      </c>
      <c r="AV35" s="169">
        <f t="shared" ca="1" si="44"/>
        <v>0</v>
      </c>
      <c r="AW35" s="170">
        <f t="shared" ca="1" si="45"/>
        <v>0</v>
      </c>
      <c r="AX35" s="168">
        <f t="shared" ca="1" si="46"/>
        <v>0</v>
      </c>
      <c r="AY35" s="169">
        <f t="shared" ca="1" si="46"/>
        <v>0</v>
      </c>
      <c r="AZ35" s="169">
        <f t="shared" si="46"/>
        <v>0</v>
      </c>
      <c r="BA35" s="169">
        <f t="shared" ca="1" si="46"/>
        <v>0</v>
      </c>
      <c r="BB35" s="170">
        <f t="shared" ca="1" si="46"/>
        <v>0</v>
      </c>
      <c r="BC35" s="168">
        <f t="shared" ca="1" si="53"/>
        <v>1</v>
      </c>
      <c r="BD35" s="169">
        <f t="shared" ca="1" si="47"/>
        <v>0</v>
      </c>
      <c r="BE35" s="169">
        <f t="shared" ca="1" si="48"/>
        <v>0</v>
      </c>
      <c r="BF35" s="169">
        <f t="shared" ca="1" si="49"/>
        <v>0</v>
      </c>
      <c r="BG35" s="169">
        <f t="shared" ca="1" si="50"/>
        <v>0</v>
      </c>
      <c r="BH35" s="170">
        <f t="shared" ca="1" si="51"/>
        <v>0</v>
      </c>
    </row>
    <row r="36" spans="1:62" x14ac:dyDescent="0.2">
      <c r="A36" s="189">
        <v>2019</v>
      </c>
      <c r="B36" s="667" cm="1">
        <f t="array" ref="B36">ROUND(INDEX(COST_Cls3,$A36-($A$24-1),MATCH(B$20,TECHOPTS_Cls3,0)),2)</f>
        <v>81898</v>
      </c>
      <c r="C36" s="668" cm="1">
        <f t="array" ref="C36">ROUND(INDEX(COST_Cls3,$A36-($A$24-1),MATCH(C$20,TECHOPTS_Cls3,0)),2)</f>
        <v>1000000</v>
      </c>
      <c r="D36" s="668" cm="1">
        <f t="array" ref="D36">ROUND(INDEX(COST_Cls3,$A36-($A$24-1),MATCH(D$20,TECHOPTS_Cls3,0)),2)</f>
        <v>1000000</v>
      </c>
      <c r="E36" s="668" cm="1">
        <f t="array" ref="E36">ROUND(INDEX(COST_Cls3,$A36-($A$24-1),MATCH(E$20,TECHOPTS_Cls3,0)),2)</f>
        <v>1000000</v>
      </c>
      <c r="F36" s="668" cm="1">
        <f t="array" ref="F36">ROUND(INDEX(COST_Cls3,$A36-($A$24-1),MATCH(F$20,TECHOPTS_Cls3,0)),2)</f>
        <v>1000000</v>
      </c>
      <c r="G36" s="669" cm="1">
        <f t="array" ref="G36">ROUND(INDEX(COST_Cls3,$A36-($A$24-1),MATCH(G$20,TECHOPTS_Cls3,0)),2)</f>
        <v>1000000</v>
      </c>
      <c r="H36" s="628" cm="1">
        <f t="array" ref="H36">IF(H$21="Single-fuel",1,1-MIN(INDEX(CDRANGE_CLS3,$A36-($A$24-1),MATCH(H$20,TECHOPTS_Cls3,0))*OPDAYS_Cls3/$D$6,1))</f>
        <v>1</v>
      </c>
      <c r="I36" s="629" cm="1">
        <f t="array" ref="I36">IF(I$21="Single-fuel",1,1-MIN(INDEX(CDRANGE_CLS3,$A36-($A$24-1),MATCH(I$20,TECHOPTS_Cls3,0))*OPDAYS_Cls3/$D$6,1))</f>
        <v>1</v>
      </c>
      <c r="J36" s="629" cm="1">
        <f t="array" ref="J36">IF(J$21="Single-fuel",1,1-MIN(INDEX(CDRANGE_CLS3,$A36-($A$24-1),MATCH(J$20,TECHOPTS_Cls3,0))*OPDAYS_Cls3/$D$6,1))</f>
        <v>1</v>
      </c>
      <c r="K36" s="629" cm="1">
        <f t="array" ref="K36">IF(K$21="Single-fuel",1,1-MIN(INDEX(CDRANGE_CLS3,$A36-($A$24-1),MATCH(K$20,TECHOPTS_Cls3,0))*OPDAYS_Cls3/$D$6,1))</f>
        <v>1</v>
      </c>
      <c r="L36" s="629" cm="1">
        <f t="array" ref="L36">IF(L$21="Single-fuel",1,1-MIN(INDEX(CDRANGE_CLS3,$A36-($A$24-1),MATCH(L$20,TECHOPTS_Cls3,0))*OPDAYS_Cls3/$D$6,1))</f>
        <v>1</v>
      </c>
      <c r="M36" s="630" cm="1">
        <f t="array" ref="M36">IF(M$21="Single-fuel",1,1-MIN(INDEX(CDRANGE_CLS3,$A36-($A$24-1),MATCH(M$20,TECHOPTS_Cls3,0))*OPDAYS_Cls3/$D$6,1))</f>
        <v>1</v>
      </c>
      <c r="N36" s="580"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9659.5352772204551</v>
      </c>
      <c r="O36" s="148"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148"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148"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148"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150"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581">
        <f t="shared" si="30"/>
        <v>-47842.332765279541</v>
      </c>
      <c r="U36" s="162">
        <f t="shared" si="31"/>
        <v>-47842.332765279541</v>
      </c>
      <c r="V36" s="162">
        <f t="shared" si="32"/>
        <v>-163295.54007027956</v>
      </c>
      <c r="W36" s="162">
        <f t="shared" si="33"/>
        <v>-184127.72254692263</v>
      </c>
      <c r="X36" s="163">
        <f t="shared" si="34"/>
        <v>-47842.332765279541</v>
      </c>
      <c r="Y36" s="151" cm="1">
        <f t="array" aca="1" ref="Y36" ca="1">IF(AND(Y$22=TRUE,INDEX(CDRANGE_CLS3,MATCH($A36,$A$24:$A$67,0),MATCH(Y$20,$B$20:$G$20,0))&lt;$D$6/OPDAYS_Cls3),86,payback(C36,T36,disc_rate/12,85))</f>
        <v>86</v>
      </c>
      <c r="Z36" s="152" cm="1">
        <f t="array" aca="1" ref="Z36" ca="1">IF(AND(Z$22=TRUE,INDEX(CDRANGE_CLS3,MATCH($A36,$A$24:$A$67,0),MATCH(Z$20,$B$20:$G$20,0))&lt;$D$6/OPDAYS_Cls3),86,payback(D36,U36,disc_rate/12,85))</f>
        <v>86</v>
      </c>
      <c r="AA36" s="152" cm="1">
        <f t="array" ref="AA36">IF(AND(AA$22=TRUE,INDEX(CDRANGE_CLS3,MATCH($A36,$A$24:$A$67,0),MATCH(AA$20,$B$20:$G$20,0))&lt;$D$6/OPDAYS_Cls3),86,payback(E36,V36,disc_rate/12,85))</f>
        <v>86</v>
      </c>
      <c r="AB36" s="152" cm="1">
        <f t="array" aca="1" ref="AB36" ca="1">IF(AND(AB$22=TRUE,INDEX(CDRANGE_CLS3,MATCH($A36,$A$24:$A$67,0),MATCH(AB$20,$B$20:$G$20,0))&lt;$D$6/OPDAYS_Cls3),86,payback(F36,W36,disc_rate/12,85))</f>
        <v>86</v>
      </c>
      <c r="AC36" s="153" cm="1">
        <f t="array" aca="1" ref="AC36" ca="1">IF(AND(AC$22=TRUE,INDEX(CDRANGE_CLS3,MATCH($A36,$A$24:$A$67,0),MATCH(AC$20,$B$20:$G$20,0))&lt;$D$6/OPDAYS_Cls3),86,payback(G36,X36,disc_rate/12,85))</f>
        <v>86</v>
      </c>
      <c r="AD36" s="168">
        <f t="shared" si="35"/>
        <v>0</v>
      </c>
      <c r="AE36" s="169">
        <f t="shared" si="36"/>
        <v>0</v>
      </c>
      <c r="AF36" s="169">
        <f t="shared" si="37"/>
        <v>0</v>
      </c>
      <c r="AG36" s="169">
        <f t="shared" si="38"/>
        <v>0</v>
      </c>
      <c r="AH36" s="170">
        <f t="shared" si="39"/>
        <v>0</v>
      </c>
      <c r="AI36" s="442" cm="1">
        <f t="array" ref="AI36">IF($A36&lt;AI$23,0,AI$21+VLOOKUP($A36-AI$23,SCdata,2,1)*(AI$22-AI$21))*IF($D$5="Non-Central",INDEX(fuel_avail,$A36-$A$24+1,MATCH(O$21,Fuels,0)),1)</f>
        <v>0</v>
      </c>
      <c r="AJ36" s="172" cm="1">
        <f t="array" ref="AJ36">IF($A36&lt;AJ$23,0,AJ$21+VLOOKUP($A36-AJ$23,SCdata,2,1)*(AJ$22-AJ$21))*IF($D$5="Non-Central",INDEX(fuel_avail,$A36-$A$24+1,MATCH(P$21,Fuels,0)),1)</f>
        <v>0</v>
      </c>
      <c r="AK36" s="172" cm="1">
        <f t="array" ref="AK36">IF($A36&lt;AK$23,0,AK$21+VLOOKUP($A36-AK$23,SCdata,2,1)*(AK$22-AK$21))*IF($D$5="Non-Central",INDEX(fuel_avail,$A36-$A$24+1,MATCH(Q$21,Fuels,0)),1)</f>
        <v>0</v>
      </c>
      <c r="AL36" s="172" cm="1">
        <f t="array" ref="AL36">IF($A36&lt;AL$23,0,AL$21+VLOOKUP($A36-AL$23,SCdata,2,1)*(AL$22-AL$21))*IF($D$5="Non-Central",INDEX(fuel_avail,$A36-$A$24+1,MATCH(R$21,Fuels,0)),1)</f>
        <v>0</v>
      </c>
      <c r="AM36" s="445" cm="1">
        <f t="array" ref="AM36">IF($A36&lt;AM$23,0,AM$21+VLOOKUP($A36-AM$23,SCdata,2,1)*(AM$22-AM$21))*IF($D$5="Non-Central",INDEX(fuel_avail,$A36-$A$24+1,MATCH(S$21,Fuels,0)),1)</f>
        <v>0</v>
      </c>
      <c r="AN36" s="171">
        <f t="shared" si="52"/>
        <v>0</v>
      </c>
      <c r="AO36" s="172">
        <f t="shared" si="40"/>
        <v>0</v>
      </c>
      <c r="AP36" s="172">
        <f t="shared" si="40"/>
        <v>0</v>
      </c>
      <c r="AQ36" s="172">
        <f t="shared" si="40"/>
        <v>0</v>
      </c>
      <c r="AR36" s="445">
        <f t="shared" si="40"/>
        <v>0</v>
      </c>
      <c r="AS36" s="168">
        <f t="shared" ca="1" si="41"/>
        <v>0</v>
      </c>
      <c r="AT36" s="169">
        <f t="shared" ca="1" si="42"/>
        <v>0</v>
      </c>
      <c r="AU36" s="169">
        <f t="shared" si="43"/>
        <v>0</v>
      </c>
      <c r="AV36" s="169">
        <f t="shared" ca="1" si="44"/>
        <v>0</v>
      </c>
      <c r="AW36" s="170">
        <f t="shared" ca="1" si="45"/>
        <v>0</v>
      </c>
      <c r="AX36" s="168">
        <f t="shared" ca="1" si="46"/>
        <v>0</v>
      </c>
      <c r="AY36" s="169">
        <f t="shared" ca="1" si="46"/>
        <v>0</v>
      </c>
      <c r="AZ36" s="169">
        <f t="shared" si="46"/>
        <v>0</v>
      </c>
      <c r="BA36" s="169">
        <f t="shared" ca="1" si="46"/>
        <v>0</v>
      </c>
      <c r="BB36" s="170">
        <f t="shared" ca="1" si="46"/>
        <v>0</v>
      </c>
      <c r="BC36" s="168">
        <f t="shared" ca="1" si="53"/>
        <v>1</v>
      </c>
      <c r="BD36" s="169">
        <f t="shared" ca="1" si="47"/>
        <v>0</v>
      </c>
      <c r="BE36" s="169">
        <f t="shared" ca="1" si="48"/>
        <v>0</v>
      </c>
      <c r="BF36" s="169">
        <f t="shared" ca="1" si="49"/>
        <v>0</v>
      </c>
      <c r="BG36" s="169">
        <f t="shared" ca="1" si="50"/>
        <v>0</v>
      </c>
      <c r="BH36" s="170">
        <f t="shared" ca="1" si="51"/>
        <v>0</v>
      </c>
    </row>
    <row r="37" spans="1:62" ht="13.5" thickBot="1" x14ac:dyDescent="0.25">
      <c r="A37" s="465">
        <v>2020</v>
      </c>
      <c r="B37" s="661" cm="1">
        <f t="array" ref="B37">ROUND(INDEX(COST_Cls3,$A37-($A$24-1),MATCH(B$20,TECHOPTS_Cls3,0)),2)</f>
        <v>81898</v>
      </c>
      <c r="C37" s="662" cm="1">
        <f t="array" ref="C37">ROUND(INDEX(COST_Cls3,$A37-($A$24-1),MATCH(C$20,TECHOPTS_Cls3,0)),2)</f>
        <v>1000000</v>
      </c>
      <c r="D37" s="662" cm="1">
        <f t="array" ref="D37">ROUND(INDEX(COST_Cls3,$A37-($A$24-1),MATCH(D$20,TECHOPTS_Cls3,0)),2)</f>
        <v>1000000</v>
      </c>
      <c r="E37" s="662" cm="1">
        <f t="array" ref="E37">ROUND(INDEX(COST_Cls3,$A37-($A$24-1),MATCH(E$20,TECHOPTS_Cls3,0)),2)</f>
        <v>1000000</v>
      </c>
      <c r="F37" s="662" cm="1">
        <f t="array" ref="F37">ROUND(INDEX(COST_Cls3,$A37-($A$24-1),MATCH(F$20,TECHOPTS_Cls3,0)),2)</f>
        <v>1000000</v>
      </c>
      <c r="G37" s="663" cm="1">
        <f t="array" ref="G37">ROUND(INDEX(COST_Cls3,$A37-($A$24-1),MATCH(G$20,TECHOPTS_Cls3,0)),2)</f>
        <v>1000000</v>
      </c>
      <c r="H37" s="628" cm="1">
        <f t="array" ref="H37">IF(H$21="Single-fuel",1,1-MIN(INDEX(CDRANGE_CLS3,$A37-($A$24-1),MATCH(H$20,TECHOPTS_Cls3,0))*OPDAYS_Cls3/$D$6,1))</f>
        <v>1</v>
      </c>
      <c r="I37" s="629" cm="1">
        <f t="array" ref="I37">IF(I$21="Single-fuel",1,1-MIN(INDEX(CDRANGE_CLS3,$A37-($A$24-1),MATCH(I$20,TECHOPTS_Cls3,0))*OPDAYS_Cls3/$D$6,1))</f>
        <v>1</v>
      </c>
      <c r="J37" s="629" cm="1">
        <f t="array" ref="J37">IF(J$21="Single-fuel",1,1-MIN(INDEX(CDRANGE_CLS3,$A37-($A$24-1),MATCH(J$20,TECHOPTS_Cls3,0))*OPDAYS_Cls3/$D$6,1))</f>
        <v>1</v>
      </c>
      <c r="K37" s="629" cm="1">
        <f t="array" ref="K37">IF(K$21="Single-fuel",1,1-MIN(INDEX(CDRANGE_CLS3,$A37-($A$24-1),MATCH(K$20,TECHOPTS_Cls3,0))*OPDAYS_Cls3/$D$6,1))</f>
        <v>1</v>
      </c>
      <c r="L37" s="629" cm="1">
        <f t="array" ref="L37">IF(L$21="Single-fuel",1,1-MIN(INDEX(CDRANGE_CLS3,$A37-($A$24-1),MATCH(L$20,TECHOPTS_Cls3,0))*OPDAYS_Cls3/$D$6,1))</f>
        <v>1</v>
      </c>
      <c r="M37" s="630" cm="1">
        <f t="array" ref="M37">IF(M$21="Single-fuel",1,1-MIN(INDEX(CDRANGE_CLS3,$A37-($A$24-1),MATCH(M$20,TECHOPTS_Cls3,0))*OPDAYS_Cls3/$D$6,1))</f>
        <v>1</v>
      </c>
      <c r="N37" s="729"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9263.9485772170847</v>
      </c>
      <c r="O37" s="623"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623"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623"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623"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624"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582">
        <f t="shared" si="30"/>
        <v>-46243.596375907917</v>
      </c>
      <c r="U37" s="466">
        <f t="shared" si="31"/>
        <v>-46243.596375907917</v>
      </c>
      <c r="V37" s="466">
        <f t="shared" si="32"/>
        <v>-167124.92440403294</v>
      </c>
      <c r="W37" s="466">
        <f t="shared" si="33"/>
        <v>-174833.94635571883</v>
      </c>
      <c r="X37" s="467">
        <f t="shared" si="34"/>
        <v>-46243.596375907917</v>
      </c>
      <c r="Y37" s="570" cm="1">
        <f t="array" aca="1" ref="Y37" ca="1">IF(AND(Y$22=TRUE,INDEX(CDRANGE_CLS3,MATCH($A37,$A$24:$A$67,0),MATCH(Y$20,$B$20:$G$20,0))&lt;$D$6/OPDAYS_Cls3),86,payback(C37,T37,disc_rate/12,85))</f>
        <v>86</v>
      </c>
      <c r="Z37" s="571" cm="1">
        <f t="array" aca="1" ref="Z37" ca="1">IF(AND(Z$22=TRUE,INDEX(CDRANGE_CLS3,MATCH($A37,$A$24:$A$67,0),MATCH(Z$20,$B$20:$G$20,0))&lt;$D$6/OPDAYS_Cls3),86,payback(D37,U37,disc_rate/12,85))</f>
        <v>86</v>
      </c>
      <c r="AA37" s="571" cm="1">
        <f t="array" ref="AA37">IF(AND(AA$22=TRUE,INDEX(CDRANGE_CLS3,MATCH($A37,$A$24:$A$67,0),MATCH(AA$20,$B$20:$G$20,0))&lt;$D$6/OPDAYS_Cls3),86,payback(E37,V37,disc_rate/12,85))</f>
        <v>86</v>
      </c>
      <c r="AB37" s="571" cm="1">
        <f t="array" aca="1" ref="AB37" ca="1">IF(AND(AB$22=TRUE,INDEX(CDRANGE_CLS3,MATCH($A37,$A$24:$A$67,0),MATCH(AB$20,$B$20:$G$20,0))&lt;$D$6/OPDAYS_Cls3),86,payback(F37,W37,disc_rate/12,85))</f>
        <v>86</v>
      </c>
      <c r="AC37" s="738" cm="1">
        <f t="array" aca="1" ref="AC37" ca="1">IF(AND(AC$22=TRUE,INDEX(CDRANGE_CLS3,MATCH($A37,$A$24:$A$67,0),MATCH(AC$20,$B$20:$G$20,0))&lt;$D$6/OPDAYS_Cls3),86,payback(G37,X37,disc_rate/12,85))</f>
        <v>86</v>
      </c>
      <c r="AD37" s="471">
        <f t="shared" si="35"/>
        <v>0</v>
      </c>
      <c r="AE37" s="472">
        <f t="shared" si="36"/>
        <v>0</v>
      </c>
      <c r="AF37" s="472">
        <f t="shared" si="37"/>
        <v>0</v>
      </c>
      <c r="AG37" s="472">
        <f t="shared" si="38"/>
        <v>0</v>
      </c>
      <c r="AH37" s="473">
        <f t="shared" si="39"/>
        <v>0</v>
      </c>
      <c r="AI37" s="474" cm="1">
        <f t="array" ref="AI37">IF($A37&lt;AI$23,0,AI$21+VLOOKUP($A37-AI$23,SCdata,2,1)*(AI$22-AI$21))*IF($D$5="Non-Central",INDEX(fuel_avail,$A37-$A$24+1,MATCH(O$21,Fuels,0)),1)</f>
        <v>0</v>
      </c>
      <c r="AJ37" s="475" cm="1">
        <f t="array" ref="AJ37">IF($A37&lt;AJ$23,0,AJ$21+VLOOKUP($A37-AJ$23,SCdata,2,1)*(AJ$22-AJ$21))*IF($D$5="Non-Central",INDEX(fuel_avail,$A37-$A$24+1,MATCH(P$21,Fuels,0)),1)</f>
        <v>0</v>
      </c>
      <c r="AK37" s="475" cm="1">
        <f t="array" ref="AK37">IF($A37&lt;AK$23,0,AK$21+VLOOKUP($A37-AK$23,SCdata,2,1)*(AK$22-AK$21))*IF($D$5="Non-Central",INDEX(fuel_avail,$A37-$A$24+1,MATCH(Q$21,Fuels,0)),1)</f>
        <v>0</v>
      </c>
      <c r="AL37" s="475" cm="1">
        <f t="array" ref="AL37">IF($A37&lt;AL$23,0,AL$21+VLOOKUP($A37-AL$23,SCdata,2,1)*(AL$22-AL$21))*IF($D$5="Non-Central",INDEX(fuel_avail,$A37-$A$24+1,MATCH(R$21,Fuels,0)),1)</f>
        <v>0</v>
      </c>
      <c r="AM37" s="476" cm="1">
        <f t="array" ref="AM37">IF($A37&lt;AM$23,0,AM$21+VLOOKUP($A37-AM$23,SCdata,2,1)*(AM$22-AM$21))*IF($D$5="Non-Central",INDEX(fuel_avail,$A37-$A$24+1,MATCH(S$21,Fuels,0)),1)</f>
        <v>0</v>
      </c>
      <c r="AN37" s="477">
        <f t="shared" si="52"/>
        <v>0</v>
      </c>
      <c r="AO37" s="475">
        <f t="shared" si="40"/>
        <v>0</v>
      </c>
      <c r="AP37" s="475">
        <f t="shared" si="40"/>
        <v>0</v>
      </c>
      <c r="AQ37" s="475">
        <f t="shared" si="40"/>
        <v>0</v>
      </c>
      <c r="AR37" s="476">
        <f t="shared" si="40"/>
        <v>0</v>
      </c>
      <c r="AS37" s="471">
        <f t="shared" ca="1" si="41"/>
        <v>0</v>
      </c>
      <c r="AT37" s="472">
        <f t="shared" ca="1" si="42"/>
        <v>0</v>
      </c>
      <c r="AU37" s="472">
        <f t="shared" si="43"/>
        <v>0</v>
      </c>
      <c r="AV37" s="472">
        <f t="shared" ca="1" si="44"/>
        <v>0</v>
      </c>
      <c r="AW37" s="473">
        <f t="shared" ca="1" si="45"/>
        <v>0</v>
      </c>
      <c r="AX37" s="471">
        <f t="shared" ca="1" si="46"/>
        <v>0</v>
      </c>
      <c r="AY37" s="472">
        <f t="shared" ca="1" si="46"/>
        <v>0</v>
      </c>
      <c r="AZ37" s="472">
        <f t="shared" si="46"/>
        <v>0</v>
      </c>
      <c r="BA37" s="472">
        <f t="shared" ca="1" si="46"/>
        <v>0</v>
      </c>
      <c r="BB37" s="473">
        <f t="shared" ca="1" si="46"/>
        <v>0</v>
      </c>
      <c r="BC37" s="471">
        <f t="shared" ca="1" si="53"/>
        <v>1</v>
      </c>
      <c r="BD37" s="472">
        <f t="shared" ca="1" si="47"/>
        <v>0</v>
      </c>
      <c r="BE37" s="472">
        <f t="shared" ca="1" si="48"/>
        <v>0</v>
      </c>
      <c r="BF37" s="472">
        <f t="shared" ca="1" si="49"/>
        <v>0</v>
      </c>
      <c r="BG37" s="472">
        <f t="shared" ca="1" si="50"/>
        <v>0</v>
      </c>
      <c r="BH37" s="473">
        <f t="shared" ca="1" si="51"/>
        <v>0</v>
      </c>
    </row>
    <row r="38" spans="1:62" x14ac:dyDescent="0.2">
      <c r="A38" s="190">
        <v>2021</v>
      </c>
      <c r="B38" s="664" cm="1">
        <f t="array" ref="B38">ROUND(INDEX(COST_Cls3,$A38-($A$24-1),MATCH(B$20,TECHOPTS_Cls3,0)),2)</f>
        <v>81898</v>
      </c>
      <c r="C38" s="665" cm="1">
        <f t="array" ref="C38">ROUND(INDEX(COST_Cls3,$A38-($A$24-1),MATCH(C$20,TECHOPTS_Cls3,0)),2)</f>
        <v>1</v>
      </c>
      <c r="D38" s="665" cm="1">
        <f t="array" ref="D38">ROUND(INDEX(COST_Cls3,$A38-($A$24-1),MATCH(D$20,TECHOPTS_Cls3,0)),2)</f>
        <v>6764</v>
      </c>
      <c r="E38" s="665" cm="1">
        <f t="array" ref="E38">ROUND(INDEX(COST_Cls3,$A38-($A$24-1),MATCH(E$20,TECHOPTS_Cls3,0)),2)</f>
        <v>322656</v>
      </c>
      <c r="F38" s="665" cm="1">
        <f t="array" ref="F38">ROUND(INDEX(COST_Cls3,$A38-($A$24-1),MATCH(F$20,TECHOPTS_Cls3,0)),2)</f>
        <v>110885</v>
      </c>
      <c r="G38" s="666" cm="1">
        <f t="array" ref="G38">ROUND(INDEX(COST_Cls3,$A38-($A$24-1),MATCH(G$20,TECHOPTS_Cls3,0)),2)</f>
        <v>160383</v>
      </c>
      <c r="H38" s="628" cm="1">
        <f t="array" ref="H38">IF(H$21="Single-fuel",1,1-MIN(INDEX(CDRANGE_CLS3,$A38-($A$24-1),MATCH(H$20,TECHOPTS_Cls3,0))*OPDAYS_Cls3/$D$6,1))</f>
        <v>1</v>
      </c>
      <c r="I38" s="629" cm="1">
        <f t="array" ref="I38">IF(I$21="Single-fuel",1,1-MIN(INDEX(CDRANGE_CLS3,$A38-($A$24-1),MATCH(I$20,TECHOPTS_Cls3,0))*OPDAYS_Cls3/$D$6,1))</f>
        <v>1</v>
      </c>
      <c r="J38" s="629" cm="1">
        <f t="array" ref="J38">IF(J$21="Single-fuel",1,1-MIN(INDEX(CDRANGE_CLS3,$A38-($A$24-1),MATCH(J$20,TECHOPTS_Cls3,0))*OPDAYS_Cls3/$D$6,1))</f>
        <v>1</v>
      </c>
      <c r="K38" s="629" cm="1">
        <f t="array" ref="K38">IF(K$21="Single-fuel",1,1-MIN(INDEX(CDRANGE_CLS3,$A38-($A$24-1),MATCH(K$20,TECHOPTS_Cls3,0))*OPDAYS_Cls3/$D$6,1))</f>
        <v>1</v>
      </c>
      <c r="L38" s="629" cm="1">
        <f t="array" ref="L38">IF(L$21="Single-fuel",1,1-MIN(INDEX(CDRANGE_CLS3,$A38-($A$24-1),MATCH(L$20,TECHOPTS_Cls3,0))*OPDAYS_Cls3/$D$6,1))</f>
        <v>1</v>
      </c>
      <c r="M38" s="630" cm="1">
        <f t="array" ref="M38">IF(M$21="Single-fuel",1,1-MIN(INDEX(CDRANGE_CLS3,$A38-($A$24-1),MATCH(M$20,TECHOPTS_Cls3,0))*OPDAYS_Cls3/$D$6,1))</f>
        <v>0.85553638096899165</v>
      </c>
      <c r="N38" s="583"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479"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8897.2260188899654</v>
      </c>
      <c r="P38" s="479"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7105.0982950254966</v>
      </c>
      <c r="Q38" s="479"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8146.4164893230272</v>
      </c>
      <c r="R38" s="479"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12272.296159885829</v>
      </c>
      <c r="S38" s="592"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6127.8118170949565</v>
      </c>
      <c r="T38" s="583">
        <f t="shared" si="30"/>
        <v>111.28518828393862</v>
      </c>
      <c r="U38" s="479">
        <f t="shared" si="31"/>
        <v>1903.4129121484075</v>
      </c>
      <c r="V38" s="479">
        <f t="shared" si="32"/>
        <v>862.0947178508768</v>
      </c>
      <c r="W38" s="479">
        <f t="shared" si="33"/>
        <v>-3263.7849527119251</v>
      </c>
      <c r="X38" s="480">
        <f t="shared" si="34"/>
        <v>2880.6993900789475</v>
      </c>
      <c r="Y38" s="481" cm="1">
        <f t="array" aca="1" ref="Y38" ca="1">IF(AND(Y$22=TRUE,INDEX(CDRANGE_CLS3,MATCH($A38,$A$24:$A$67,0),MATCH(Y$20,$B$20:$G$20,0))&lt;$D$6/OPDAYS_Cls3),86,payback(C38,T38,disc_rate/12,85))</f>
        <v>1</v>
      </c>
      <c r="Z38" s="482" cm="1">
        <f t="array" aca="1" ref="Z38" ca="1">IF(AND(Z$22=TRUE,INDEX(CDRANGE_CLS3,MATCH($A38,$A$24:$A$67,0),MATCH(Z$20,$B$20:$G$20,0))&lt;$D$6/OPDAYS_Cls3),86,payback(D38,U38,disc_rate/12,85))</f>
        <v>4</v>
      </c>
      <c r="AA38" s="482" cm="1">
        <f t="array" ref="AA38">IF(AND(AA$22=TRUE,INDEX(CDRANGE_CLS3,MATCH($A38,$A$24:$A$67,0),MATCH(AA$20,$B$20:$G$20,0))&lt;$D$6/OPDAYS_Cls3),86,payback(E38,V38,disc_rate/12,85))</f>
        <v>86</v>
      </c>
      <c r="AB38" s="482" cm="1">
        <f t="array" aca="1" ref="AB38" ca="1">IF(AND(AB$22=TRUE,INDEX(CDRANGE_CLS3,MATCH($A38,$A$24:$A$67,0),MATCH(AB$20,$B$20:$G$20,0))&lt;$D$6/OPDAYS_Cls3),86,payback(F38,W38,disc_rate/12,85))</f>
        <v>86</v>
      </c>
      <c r="AC38" s="739" cm="1">
        <f t="array" aca="1" ref="AC38" ca="1">IF(AND(AC$22=TRUE,INDEX(CDRANGE_CLS3,MATCH($A38,$A$24:$A$67,0),MATCH(AC$20,$B$20:$G$20,0))&lt;$D$6/OPDAYS_Cls3),86,payback(G38,X38,disc_rate/12,85))</f>
        <v>69</v>
      </c>
      <c r="AD38" s="484">
        <f t="shared" si="35"/>
        <v>0</v>
      </c>
      <c r="AE38" s="485">
        <f t="shared" si="36"/>
        <v>0</v>
      </c>
      <c r="AF38" s="485">
        <f t="shared" si="37"/>
        <v>0</v>
      </c>
      <c r="AG38" s="485">
        <f t="shared" si="38"/>
        <v>0</v>
      </c>
      <c r="AH38" s="486">
        <f t="shared" si="39"/>
        <v>0</v>
      </c>
      <c r="AI38" s="487" cm="1">
        <f t="array" ref="AI38">IF($A38&lt;AI$23,0,AI$21+VLOOKUP($A38-AI$23,SCdata,2,1)*(AI$22-AI$21))*IF($D$5="Non-Central",INDEX(fuel_avail,$A38-$A$24+1,MATCH(O$21,Fuels,0)),1)</f>
        <v>0</v>
      </c>
      <c r="AJ38" s="488" cm="1">
        <f t="array" ref="AJ38">IF($A38&lt;AJ$23,0,AJ$21+VLOOKUP($A38-AJ$23,SCdata,2,1)*(AJ$22-AJ$21))*IF($D$5="Non-Central",INDEX(fuel_avail,$A38-$A$24+1,MATCH(P$21,Fuels,0)),1)</f>
        <v>0</v>
      </c>
      <c r="AK38" s="488" cm="1">
        <f t="array" ref="AK38">IF($A38&lt;AK$23,0,AK$21+VLOOKUP($A38-AK$23,SCdata,2,1)*(AK$22-AK$21))*IF($D$5="Non-Central",INDEX(fuel_avail,$A38-$A$24+1,MATCH(Q$21,Fuels,0)),1)</f>
        <v>0</v>
      </c>
      <c r="AL38" s="488" cm="1">
        <f t="array" ref="AL38">IF($A38&lt;AL$23,0,AL$21+VLOOKUP($A38-AL$23,SCdata,2,1)*(AL$22-AL$21))*IF($D$5="Non-Central",INDEX(fuel_avail,$A38-$A$24+1,MATCH(R$21,Fuels,0)),1)</f>
        <v>0</v>
      </c>
      <c r="AM38" s="489" cm="1">
        <f t="array" ref="AM38">IF($A38&lt;AM$23,0,AM$21+VLOOKUP($A38-AM$23,SCdata,2,1)*(AM$22-AM$21))*IF($D$5="Non-Central",INDEX(fuel_avail,$A38-$A$24+1,MATCH(S$21,Fuels,0)),1)</f>
        <v>0</v>
      </c>
      <c r="AN38" s="490">
        <f t="shared" si="52"/>
        <v>0.99999999958585639</v>
      </c>
      <c r="AO38" s="488">
        <f t="shared" si="40"/>
        <v>0.9812306105604498</v>
      </c>
      <c r="AP38" s="488">
        <f t="shared" si="40"/>
        <v>0</v>
      </c>
      <c r="AQ38" s="488">
        <f t="shared" si="40"/>
        <v>6.1451315369334125E-3</v>
      </c>
      <c r="AR38" s="489">
        <f t="shared" si="40"/>
        <v>2.3632369729131852E-5</v>
      </c>
      <c r="AS38" s="484">
        <f t="shared" ca="1" si="41"/>
        <v>0</v>
      </c>
      <c r="AT38" s="485">
        <f t="shared" ca="1" si="42"/>
        <v>0</v>
      </c>
      <c r="AU38" s="485">
        <f t="shared" si="43"/>
        <v>0</v>
      </c>
      <c r="AV38" s="485">
        <f t="shared" ca="1" si="44"/>
        <v>0</v>
      </c>
      <c r="AW38" s="486">
        <f t="shared" ca="1" si="45"/>
        <v>0</v>
      </c>
      <c r="AX38" s="484">
        <f t="shared" ca="1" si="46"/>
        <v>0</v>
      </c>
      <c r="AY38" s="485">
        <f t="shared" ca="1" si="46"/>
        <v>0</v>
      </c>
      <c r="AZ38" s="485">
        <f t="shared" si="46"/>
        <v>0</v>
      </c>
      <c r="BA38" s="485">
        <f t="shared" ca="1" si="46"/>
        <v>0</v>
      </c>
      <c r="BB38" s="486">
        <f t="shared" ca="1" si="46"/>
        <v>0</v>
      </c>
      <c r="BC38" s="484">
        <f t="shared" ca="1" si="53"/>
        <v>1</v>
      </c>
      <c r="BD38" s="485">
        <f t="shared" ca="1" si="47"/>
        <v>0</v>
      </c>
      <c r="BE38" s="485">
        <f t="shared" ca="1" si="48"/>
        <v>0</v>
      </c>
      <c r="BF38" s="485">
        <f t="shared" ca="1" si="49"/>
        <v>0</v>
      </c>
      <c r="BG38" s="485">
        <f t="shared" ca="1" si="50"/>
        <v>0</v>
      </c>
      <c r="BH38" s="486">
        <f t="shared" ca="1" si="51"/>
        <v>0</v>
      </c>
    </row>
    <row r="39" spans="1:62" x14ac:dyDescent="0.2">
      <c r="A39" s="189">
        <v>2022</v>
      </c>
      <c r="B39" s="667" cm="1">
        <f t="array" ref="B39">ROUND(INDEX(COST_Cls3,$A39-($A$24-1),MATCH(B$20,TECHOPTS_Cls3,0)),2)</f>
        <v>82087.73</v>
      </c>
      <c r="C39" s="668" cm="1">
        <f t="array" ref="C39">ROUND(INDEX(COST_Cls3,$A39-($A$24-1),MATCH(C$20,TECHOPTS_Cls3,0)),2)</f>
        <v>56.09</v>
      </c>
      <c r="D39" s="668" cm="1">
        <f t="array" ref="D39">ROUND(INDEX(COST_Cls3,$A39-($A$24-1),MATCH(D$20,TECHOPTS_Cls3,0)),2)</f>
        <v>6526.5</v>
      </c>
      <c r="E39" s="668" cm="1">
        <f t="array" ref="E39">ROUND(INDEX(COST_Cls3,$A39-($A$24-1),MATCH(E$20,TECHOPTS_Cls3,0)),2)</f>
        <v>298419.92</v>
      </c>
      <c r="F39" s="668" cm="1">
        <f t="array" ref="F39">ROUND(INDEX(COST_Cls3,$A39-($A$24-1),MATCH(F$20,TECHOPTS_Cls3,0)),2)</f>
        <v>103165.29</v>
      </c>
      <c r="G39" s="669" cm="1">
        <f t="array" ref="G39">ROUND(INDEX(COST_Cls3,$A39-($A$24-1),MATCH(G$20,TECHOPTS_Cls3,0)),2)</f>
        <v>148220.26999999999</v>
      </c>
      <c r="H39" s="628" cm="1">
        <f t="array" ref="H39">IF(H$21="Single-fuel",1,1-MIN(INDEX(CDRANGE_CLS3,$A39-($A$24-1),MATCH(H$20,TECHOPTS_Cls3,0))*OPDAYS_Cls3/$D$6,1))</f>
        <v>1</v>
      </c>
      <c r="I39" s="629" cm="1">
        <f t="array" ref="I39">IF(I$21="Single-fuel",1,1-MIN(INDEX(CDRANGE_CLS3,$A39-($A$24-1),MATCH(I$20,TECHOPTS_Cls3,0))*OPDAYS_Cls3/$D$6,1))</f>
        <v>1</v>
      </c>
      <c r="J39" s="629" cm="1">
        <f t="array" ref="J39">IF(J$21="Single-fuel",1,1-MIN(INDEX(CDRANGE_CLS3,$A39-($A$24-1),MATCH(J$20,TECHOPTS_Cls3,0))*OPDAYS_Cls3/$D$6,1))</f>
        <v>1</v>
      </c>
      <c r="K39" s="629" cm="1">
        <f t="array" ref="K39">IF(K$21="Single-fuel",1,1-MIN(INDEX(CDRANGE_CLS3,$A39-($A$24-1),MATCH(K$20,TECHOPTS_Cls3,0))*OPDAYS_Cls3/$D$6,1))</f>
        <v>1</v>
      </c>
      <c r="L39" s="629" cm="1">
        <f t="array" ref="L39">IF(L$21="Single-fuel",1,1-MIN(INDEX(CDRANGE_CLS3,$A39-($A$24-1),MATCH(L$20,TECHOPTS_Cls3,0))*OPDAYS_Cls3/$D$6,1))</f>
        <v>1</v>
      </c>
      <c r="M39" s="630" cm="1">
        <f t="array" ref="M39">IF(M$21="Single-fuel",1,1-MIN(INDEX(CDRANGE_CLS3,$A39-($A$24-1),MATCH(M$20,TECHOPTS_Cls3,0))*OPDAYS_Cls3/$D$6,1))</f>
        <v>0.85690075220117856</v>
      </c>
      <c r="N39" s="580"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148"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8793.714809493822</v>
      </c>
      <c r="P39" s="148"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6988.9773499347702</v>
      </c>
      <c r="Q39" s="148"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8050.5919994878886</v>
      </c>
      <c r="R39" s="148"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11284.047014922829</v>
      </c>
      <c r="S39" s="150"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6007.6328861204693</v>
      </c>
      <c r="T39" s="581">
        <f t="shared" si="30"/>
        <v>175.7650476155286</v>
      </c>
      <c r="U39" s="162">
        <f t="shared" si="31"/>
        <v>1980.5025071745804</v>
      </c>
      <c r="V39" s="162">
        <f t="shared" si="32"/>
        <v>918.88785762146199</v>
      </c>
      <c r="W39" s="162">
        <f t="shared" si="33"/>
        <v>-2314.5671578134788</v>
      </c>
      <c r="X39" s="163">
        <f t="shared" si="34"/>
        <v>2961.8469709888814</v>
      </c>
      <c r="Y39" s="151" cm="1">
        <f t="array" aca="1" ref="Y39" ca="1">IF(AND(Y$22=TRUE,INDEX(CDRANGE_CLS3,MATCH($A39,$A$24:$A$67,0),MATCH(Y$20,$B$20:$G$20,0))&lt;$D$6/OPDAYS_Cls3),86,payback(C39,T39,disc_rate/12,85))</f>
        <v>1</v>
      </c>
      <c r="Z39" s="152" cm="1">
        <f t="array" aca="1" ref="Z39" ca="1">IF(AND(Z$22=TRUE,INDEX(CDRANGE_CLS3,MATCH($A39,$A$24:$A$67,0),MATCH(Z$20,$B$20:$G$20,0))&lt;$D$6/OPDAYS_Cls3),86,payback(D39,U39,disc_rate/12,85))</f>
        <v>4</v>
      </c>
      <c r="AA39" s="152" cm="1">
        <f t="array" ref="AA39">IF(AND(AA$22=TRUE,INDEX(CDRANGE_CLS3,MATCH($A39,$A$24:$A$67,0),MATCH(AA$20,$B$20:$G$20,0))&lt;$D$6/OPDAYS_Cls3),86,payback(E39,V39,disc_rate/12,85))</f>
        <v>86</v>
      </c>
      <c r="AB39" s="152" cm="1">
        <f t="array" aca="1" ref="AB39" ca="1">IF(AND(AB$22=TRUE,INDEX(CDRANGE_CLS3,MATCH($A39,$A$24:$A$67,0),MATCH(AB$20,$B$20:$G$20,0))&lt;$D$6/OPDAYS_Cls3),86,payback(F39,W39,disc_rate/12,85))</f>
        <v>86</v>
      </c>
      <c r="AC39" s="153" cm="1">
        <f t="array" aca="1" ref="AC39" ca="1">IF(AND(AC$22=TRUE,INDEX(CDRANGE_CLS3,MATCH($A39,$A$24:$A$67,0),MATCH(AC$20,$B$20:$G$20,0))&lt;$D$6/OPDAYS_Cls3),86,payback(G39,X39,disc_rate/12,85))</f>
        <v>61</v>
      </c>
      <c r="AD39" s="168">
        <f t="shared" si="35"/>
        <v>0</v>
      </c>
      <c r="AE39" s="169">
        <f t="shared" si="36"/>
        <v>0</v>
      </c>
      <c r="AF39" s="169">
        <f t="shared" si="37"/>
        <v>0</v>
      </c>
      <c r="AG39" s="169">
        <f t="shared" si="38"/>
        <v>0</v>
      </c>
      <c r="AH39" s="170">
        <f t="shared" si="39"/>
        <v>0</v>
      </c>
      <c r="AI39" s="442" cm="1">
        <f t="array" ref="AI39">IF($A39&lt;AI$23,0,AI$21+VLOOKUP($A39-AI$23,SCdata,2,1)*(AI$22-AI$21))*IF($D$5="Non-Central",INDEX(fuel_avail,$A39-$A$24+1,MATCH(O$21,Fuels,0)),1)</f>
        <v>0</v>
      </c>
      <c r="AJ39" s="172" cm="1">
        <f t="array" ref="AJ39">IF($A39&lt;AJ$23,0,AJ$21+VLOOKUP($A39-AJ$23,SCdata,2,1)*(AJ$22-AJ$21))*IF($D$5="Non-Central",INDEX(fuel_avail,$A39-$A$24+1,MATCH(P$21,Fuels,0)),1)</f>
        <v>0</v>
      </c>
      <c r="AK39" s="172" cm="1">
        <f t="array" ref="AK39">IF($A39&lt;AK$23,0,AK$21+VLOOKUP($A39-AK$23,SCdata,2,1)*(AK$22-AK$21))*IF($D$5="Non-Central",INDEX(fuel_avail,$A39-$A$24+1,MATCH(Q$21,Fuels,0)),1)</f>
        <v>0</v>
      </c>
      <c r="AL39" s="172" cm="1">
        <f t="array" ref="AL39">IF($A39&lt;AL$23,0,AL$21+VLOOKUP($A39-AL$23,SCdata,2,1)*(AL$22-AL$21))*IF($D$5="Non-Central",INDEX(fuel_avail,$A39-$A$24+1,MATCH(R$21,Fuels,0)),1)</f>
        <v>0</v>
      </c>
      <c r="AM39" s="445" cm="1">
        <f t="array" ref="AM39">IF($A39&lt;AM$23,0,AM$21+VLOOKUP($A39-AM$23,SCdata,2,1)*(AM$22-AM$21))*IF($D$5="Non-Central",INDEX(fuel_avail,$A39-$A$24+1,MATCH(S$21,Fuels,0)),1)</f>
        <v>0</v>
      </c>
      <c r="AN39" s="171">
        <f t="shared" si="52"/>
        <v>0.99999870308472505</v>
      </c>
      <c r="AO39" s="172">
        <f t="shared" si="40"/>
        <v>0.98259418490204731</v>
      </c>
      <c r="AP39" s="172">
        <f t="shared" si="40"/>
        <v>1.1102230246251565E-16</v>
      </c>
      <c r="AQ39" s="172">
        <f t="shared" si="40"/>
        <v>1.2432889637966293E-2</v>
      </c>
      <c r="AR39" s="445">
        <f t="shared" si="40"/>
        <v>1.1664064714000943E-4</v>
      </c>
      <c r="AS39" s="168">
        <f t="shared" ca="1" si="41"/>
        <v>0</v>
      </c>
      <c r="AT39" s="169">
        <f t="shared" ca="1" si="42"/>
        <v>0</v>
      </c>
      <c r="AU39" s="169">
        <f t="shared" si="43"/>
        <v>0</v>
      </c>
      <c r="AV39" s="169">
        <f t="shared" ca="1" si="44"/>
        <v>0</v>
      </c>
      <c r="AW39" s="170">
        <f t="shared" ca="1" si="45"/>
        <v>0</v>
      </c>
      <c r="AX39" s="168">
        <f t="shared" ca="1" si="46"/>
        <v>0</v>
      </c>
      <c r="AY39" s="169">
        <f t="shared" ca="1" si="46"/>
        <v>0</v>
      </c>
      <c r="AZ39" s="169">
        <f t="shared" si="46"/>
        <v>0</v>
      </c>
      <c r="BA39" s="169">
        <f t="shared" ca="1" si="46"/>
        <v>0</v>
      </c>
      <c r="BB39" s="170">
        <f t="shared" ca="1" si="46"/>
        <v>0</v>
      </c>
      <c r="BC39" s="168">
        <f t="shared" ca="1" si="53"/>
        <v>1</v>
      </c>
      <c r="BD39" s="169">
        <f t="shared" ca="1" si="47"/>
        <v>0</v>
      </c>
      <c r="BE39" s="169">
        <f t="shared" ca="1" si="48"/>
        <v>0</v>
      </c>
      <c r="BF39" s="169">
        <f t="shared" ca="1" si="49"/>
        <v>0</v>
      </c>
      <c r="BG39" s="169">
        <f t="shared" ca="1" si="50"/>
        <v>0</v>
      </c>
      <c r="BH39" s="170">
        <f t="shared" ca="1" si="51"/>
        <v>0</v>
      </c>
    </row>
    <row r="40" spans="1:62" x14ac:dyDescent="0.2">
      <c r="A40" s="189">
        <v>2023</v>
      </c>
      <c r="B40" s="667" cm="1">
        <f t="array" ref="B40">ROUND(INDEX(COST_Cls3,$A40-($A$24-1),MATCH(B$20,TECHOPTS_Cls3,0)),2)</f>
        <v>82326.47</v>
      </c>
      <c r="C40" s="668" cm="1">
        <f t="array" ref="C40">ROUND(INDEX(COST_Cls3,$A40-($A$24-1),MATCH(C$20,TECHOPTS_Cls3,0)),2)</f>
        <v>100.49</v>
      </c>
      <c r="D40" s="668" cm="1">
        <f t="array" ref="D40">ROUND(INDEX(COST_Cls3,$A40-($A$24-1),MATCH(D$20,TECHOPTS_Cls3,0)),2)</f>
        <v>6338.54</v>
      </c>
      <c r="E40" s="668" cm="1">
        <f t="array" ref="E40">ROUND(INDEX(COST_Cls3,$A40-($A$24-1),MATCH(E$20,TECHOPTS_Cls3,0)),2)</f>
        <v>279239.57</v>
      </c>
      <c r="F40" s="668" cm="1">
        <f t="array" ref="F40">ROUND(INDEX(COST_Cls3,$A40-($A$24-1),MATCH(F$20,TECHOPTS_Cls3,0)),2)</f>
        <v>97055.93</v>
      </c>
      <c r="G40" s="669" cm="1">
        <f t="array" ref="G40">ROUND(INDEX(COST_Cls3,$A40-($A$24-1),MATCH(G$20,TECHOPTS_Cls3,0)),2)</f>
        <v>138594.73000000001</v>
      </c>
      <c r="H40" s="628" cm="1">
        <f t="array" ref="H40">IF(H$21="Single-fuel",1,1-MIN(INDEX(CDRANGE_CLS3,$A40-($A$24-1),MATCH(H$20,TECHOPTS_Cls3,0))*OPDAYS_Cls3/$D$6,1))</f>
        <v>1</v>
      </c>
      <c r="I40" s="629" cm="1">
        <f t="array" ref="I40">IF(I$21="Single-fuel",1,1-MIN(INDEX(CDRANGE_CLS3,$A40-($A$24-1),MATCH(I$20,TECHOPTS_Cls3,0))*OPDAYS_Cls3/$D$6,1))</f>
        <v>1</v>
      </c>
      <c r="J40" s="629" cm="1">
        <f t="array" ref="J40">IF(J$21="Single-fuel",1,1-MIN(INDEX(CDRANGE_CLS3,$A40-($A$24-1),MATCH(J$20,TECHOPTS_Cls3,0))*OPDAYS_Cls3/$D$6,1))</f>
        <v>1</v>
      </c>
      <c r="K40" s="629" cm="1">
        <f t="array" ref="K40">IF(K$21="Single-fuel",1,1-MIN(INDEX(CDRANGE_CLS3,$A40-($A$24-1),MATCH(K$20,TECHOPTS_Cls3,0))*OPDAYS_Cls3/$D$6,1))</f>
        <v>1</v>
      </c>
      <c r="L40" s="629" cm="1">
        <f t="array" ref="L40">IF(L$21="Single-fuel",1,1-MIN(INDEX(CDRANGE_CLS3,$A40-($A$24-1),MATCH(L$20,TECHOPTS_Cls3,0))*OPDAYS_Cls3/$D$6,1))</f>
        <v>1</v>
      </c>
      <c r="M40" s="630" cm="1">
        <f t="array" ref="M40">IF(M$21="Single-fuel",1,1-MIN(INDEX(CDRANGE_CLS3,$A40-($A$24-1),MATCH(M$20,TECHOPTS_Cls3,0))*OPDAYS_Cls3/$D$6,1))</f>
        <v>0.85798051094670014</v>
      </c>
      <c r="N40" s="580"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148"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8659.9797176349548</v>
      </c>
      <c r="P40" s="148"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6858.0482340253966</v>
      </c>
      <c r="Q40" s="148"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8030.5216205887027</v>
      </c>
      <c r="R40" s="148"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10402.608442304972</v>
      </c>
      <c r="S40" s="150"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5893.1676736657155</v>
      </c>
      <c r="T40" s="581">
        <f t="shared" si="30"/>
        <v>142.86254969633228</v>
      </c>
      <c r="U40" s="162">
        <f t="shared" si="31"/>
        <v>1944.7940333058905</v>
      </c>
      <c r="V40" s="162">
        <f t="shared" si="32"/>
        <v>772.32064674258436</v>
      </c>
      <c r="W40" s="162">
        <f t="shared" si="33"/>
        <v>-1599.7661749736853</v>
      </c>
      <c r="X40" s="163">
        <f t="shared" si="34"/>
        <v>2909.6745936655716</v>
      </c>
      <c r="Y40" s="151" cm="1">
        <f t="array" aca="1" ref="Y40" ca="1">IF(AND(Y$22=TRUE,INDEX(CDRANGE_CLS3,MATCH($A40,$A$24:$A$67,0),MATCH(Y$20,$B$20:$G$20,0))&lt;$D$6/OPDAYS_Cls3),86,payback(C40,T40,disc_rate/12,85))</f>
        <v>1</v>
      </c>
      <c r="Z40" s="152" cm="1">
        <f t="array" aca="1" ref="Z40" ca="1">IF(AND(Z$22=TRUE,INDEX(CDRANGE_CLS3,MATCH($A40,$A$24:$A$67,0),MATCH(Z$20,$B$20:$G$20,0))&lt;$D$6/OPDAYS_Cls3),86,payback(D40,U40,disc_rate/12,85))</f>
        <v>4</v>
      </c>
      <c r="AA40" s="152" cm="1">
        <f t="array" ref="AA40">IF(AND(AA$22=TRUE,INDEX(CDRANGE_CLS3,MATCH($A40,$A$24:$A$67,0),MATCH(AA$20,$B$20:$G$20,0))&lt;$D$6/OPDAYS_Cls3),86,payback(E40,V40,disc_rate/12,85))</f>
        <v>86</v>
      </c>
      <c r="AB40" s="152" cm="1">
        <f t="array" aca="1" ref="AB40" ca="1">IF(AND(AB$22=TRUE,INDEX(CDRANGE_CLS3,MATCH($A40,$A$24:$A$67,0),MATCH(AB$20,$B$20:$G$20,0))&lt;$D$6/OPDAYS_Cls3),86,payback(F40,W40,disc_rate/12,85))</f>
        <v>86</v>
      </c>
      <c r="AC40" s="153" cm="1">
        <f t="array" aca="1" ref="AC40" ca="1">IF(AND(AC$22=TRUE,INDEX(CDRANGE_CLS3,MATCH($A40,$A$24:$A$67,0),MATCH(AC$20,$B$20:$G$20,0))&lt;$D$6/OPDAYS_Cls3),86,payback(G40,X40,disc_rate/12,85))</f>
        <v>57</v>
      </c>
      <c r="AD40" s="168">
        <f t="shared" si="35"/>
        <v>0</v>
      </c>
      <c r="AE40" s="169">
        <f t="shared" si="36"/>
        <v>0</v>
      </c>
      <c r="AF40" s="169">
        <f t="shared" si="37"/>
        <v>0</v>
      </c>
      <c r="AG40" s="169">
        <f t="shared" si="38"/>
        <v>0</v>
      </c>
      <c r="AH40" s="170">
        <f t="shared" si="39"/>
        <v>0</v>
      </c>
      <c r="AI40" s="442" cm="1">
        <f t="array" ref="AI40">IF($A40&lt;AI$23,0,AI$21+VLOOKUP($A40-AI$23,SCdata,2,1)*(AI$22-AI$21))*IF($D$5="Non-Central",INDEX(fuel_avail,$A40-$A$24+1,MATCH(O$21,Fuels,0)),1)</f>
        <v>0</v>
      </c>
      <c r="AJ40" s="172" cm="1">
        <f t="array" ref="AJ40">IF($A40&lt;AJ$23,0,AJ$21+VLOOKUP($A40-AJ$23,SCdata,2,1)*(AJ$22-AJ$21))*IF($D$5="Non-Central",INDEX(fuel_avail,$A40-$A$24+1,MATCH(P$21,Fuels,0)),1)</f>
        <v>0</v>
      </c>
      <c r="AK40" s="172" cm="1">
        <f t="array" ref="AK40">IF($A40&lt;AK$23,0,AK$21+VLOOKUP($A40-AK$23,SCdata,2,1)*(AK$22-AK$21))*IF($D$5="Non-Central",INDEX(fuel_avail,$A40-$A$24+1,MATCH(Q$21,Fuels,0)),1)</f>
        <v>0</v>
      </c>
      <c r="AL40" s="172" cm="1">
        <f t="array" ref="AL40">IF($A40&lt;AL$23,0,AL$21+VLOOKUP($A40-AL$23,SCdata,2,1)*(AL$22-AL$21))*IF($D$5="Non-Central",INDEX(fuel_avail,$A40-$A$24+1,MATCH(R$21,Fuels,0)),1)</f>
        <v>0</v>
      </c>
      <c r="AM40" s="445" cm="1">
        <f t="array" ref="AM40">IF($A40&lt;AM$23,0,AM$21+VLOOKUP($A40-AM$23,SCdata,2,1)*(AM$22-AM$21))*IF($D$5="Non-Central",INDEX(fuel_avail,$A40-$A$24+1,MATCH(S$21,Fuels,0)),1)</f>
        <v>0</v>
      </c>
      <c r="AN40" s="171">
        <f t="shared" si="52"/>
        <v>0.99999586130612061</v>
      </c>
      <c r="AO40" s="172">
        <f t="shared" si="52"/>
        <v>0.98366849272752477</v>
      </c>
      <c r="AP40" s="172">
        <f t="shared" si="52"/>
        <v>1.3211653993039363E-14</v>
      </c>
      <c r="AQ40" s="172">
        <f t="shared" si="52"/>
        <v>2.1053892250271322E-2</v>
      </c>
      <c r="AR40" s="445">
        <f t="shared" si="52"/>
        <v>3.8108547596160669E-4</v>
      </c>
      <c r="AS40" s="168">
        <f t="shared" ca="1" si="41"/>
        <v>0</v>
      </c>
      <c r="AT40" s="169">
        <f t="shared" ca="1" si="42"/>
        <v>0</v>
      </c>
      <c r="AU40" s="169">
        <f t="shared" si="43"/>
        <v>0</v>
      </c>
      <c r="AV40" s="169">
        <f t="shared" ca="1" si="44"/>
        <v>0</v>
      </c>
      <c r="AW40" s="170">
        <f t="shared" ca="1" si="45"/>
        <v>0</v>
      </c>
      <c r="AX40" s="168">
        <f t="shared" ca="1" si="46"/>
        <v>0</v>
      </c>
      <c r="AY40" s="169">
        <f t="shared" ca="1" si="46"/>
        <v>0</v>
      </c>
      <c r="AZ40" s="169">
        <f t="shared" si="46"/>
        <v>0</v>
      </c>
      <c r="BA40" s="169">
        <f t="shared" ca="1" si="46"/>
        <v>0</v>
      </c>
      <c r="BB40" s="170">
        <f t="shared" ca="1" si="46"/>
        <v>0</v>
      </c>
      <c r="BC40" s="168">
        <f t="shared" ca="1" si="53"/>
        <v>1</v>
      </c>
      <c r="BD40" s="169">
        <f t="shared" ca="1" si="47"/>
        <v>0</v>
      </c>
      <c r="BE40" s="169">
        <f t="shared" ca="1" si="48"/>
        <v>0</v>
      </c>
      <c r="BF40" s="169">
        <f t="shared" ca="1" si="49"/>
        <v>0</v>
      </c>
      <c r="BG40" s="169">
        <f t="shared" ca="1" si="50"/>
        <v>0</v>
      </c>
      <c r="BH40" s="170">
        <f t="shared" ca="1" si="51"/>
        <v>0</v>
      </c>
    </row>
    <row r="41" spans="1:62" x14ac:dyDescent="0.2">
      <c r="A41" s="189">
        <v>2024</v>
      </c>
      <c r="B41" s="667" cm="1">
        <f t="array" ref="B41">ROUND(INDEX(COST_Cls3,$A41-($A$24-1),MATCH(B$20,TECHOPTS_Cls3,0)),2)</f>
        <v>82592</v>
      </c>
      <c r="C41" s="668" cm="1">
        <f t="array" ref="C41">ROUND(INDEX(COST_Cls3,$A41-($A$24-1),MATCH(C$20,TECHOPTS_Cls3,0)),2)</f>
        <v>158.66999999999999</v>
      </c>
      <c r="D41" s="668" cm="1">
        <f t="array" ref="D41">ROUND(INDEX(COST_Cls3,$A41-($A$24-1),MATCH(D$20,TECHOPTS_Cls3,0)),2)</f>
        <v>6092.17</v>
      </c>
      <c r="E41" s="668" cm="1">
        <f t="array" ref="E41">ROUND(INDEX(COST_Cls3,$A41-($A$24-1),MATCH(E$20,TECHOPTS_Cls3,0)),2)</f>
        <v>254099.17</v>
      </c>
      <c r="F41" s="668" cm="1">
        <f t="array" ref="F41">ROUND(INDEX(COST_Cls3,$A41-($A$24-1),MATCH(F$20,TECHOPTS_Cls3,0)),2)</f>
        <v>89048.17</v>
      </c>
      <c r="G41" s="669" cm="1">
        <f t="array" ref="G41">ROUND(INDEX(COST_Cls3,$A41-($A$24-1),MATCH(G$20,TECHOPTS_Cls3,0)),2)</f>
        <v>125978.17</v>
      </c>
      <c r="H41" s="628" cm="1">
        <f t="array" ref="H41">IF(H$21="Single-fuel",1,1-MIN(INDEX(CDRANGE_CLS3,$A41-($A$24-1),MATCH(H$20,TECHOPTS_Cls3,0))*OPDAYS_Cls3/$D$6,1))</f>
        <v>1</v>
      </c>
      <c r="I41" s="629" cm="1">
        <f t="array" ref="I41">IF(I$21="Single-fuel",1,1-MIN(INDEX(CDRANGE_CLS3,$A41-($A$24-1),MATCH(I$20,TECHOPTS_Cls3,0))*OPDAYS_Cls3/$D$6,1))</f>
        <v>1</v>
      </c>
      <c r="J41" s="629" cm="1">
        <f t="array" ref="J41">IF(J$21="Single-fuel",1,1-MIN(INDEX(CDRANGE_CLS3,$A41-($A$24-1),MATCH(J$20,TECHOPTS_Cls3,0))*OPDAYS_Cls3/$D$6,1))</f>
        <v>1</v>
      </c>
      <c r="K41" s="629" cm="1">
        <f t="array" ref="K41">IF(K$21="Single-fuel",1,1-MIN(INDEX(CDRANGE_CLS3,$A41-($A$24-1),MATCH(K$20,TECHOPTS_Cls3,0))*OPDAYS_Cls3/$D$6,1))</f>
        <v>1</v>
      </c>
      <c r="L41" s="629" cm="1">
        <f t="array" ref="L41">IF(L$21="Single-fuel",1,1-MIN(INDEX(CDRANGE_CLS3,$A41-($A$24-1),MATCH(L$20,TECHOPTS_Cls3,0))*OPDAYS_Cls3/$D$6,1))</f>
        <v>1</v>
      </c>
      <c r="M41" s="630" cm="1">
        <f t="array" ref="M41">IF(M$21="Single-fuel",1,1-MIN(INDEX(CDRANGE_CLS3,$A41-($A$24-1),MATCH(M$20,TECHOPTS_Cls3,0))*OPDAYS_Cls3/$D$6,1))</f>
        <v>0.85939579117313691</v>
      </c>
      <c r="N41" s="580"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148"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8581.8295031908947</v>
      </c>
      <c r="P41" s="148"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6765.8975882908062</v>
      </c>
      <c r="Q41" s="148"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7956.8532985603742</v>
      </c>
      <c r="R41" s="148"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9497.3040485793717</v>
      </c>
      <c r="S41" s="150"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5796.1016182152543</v>
      </c>
      <c r="T41" s="581">
        <f t="shared" si="30"/>
        <v>145.05298895109081</v>
      </c>
      <c r="U41" s="162">
        <f t="shared" si="31"/>
        <v>1960.9849038511793</v>
      </c>
      <c r="V41" s="162">
        <f t="shared" si="32"/>
        <v>770.02919358161125</v>
      </c>
      <c r="W41" s="162">
        <f t="shared" si="33"/>
        <v>-770.42155643738624</v>
      </c>
      <c r="X41" s="163">
        <f t="shared" si="34"/>
        <v>2930.7808739267311</v>
      </c>
      <c r="Y41" s="151" cm="1">
        <f t="array" aca="1" ref="Y41" ca="1">IF(AND(Y$22=TRUE,INDEX(CDRANGE_CLS3,MATCH($A41,$A$24:$A$67,0),MATCH(Y$20,$B$20:$G$20,0))&lt;$D$6/OPDAYS_Cls3),86,payback(C41,T41,disc_rate/12,85))</f>
        <v>2</v>
      </c>
      <c r="Z41" s="152" cm="1">
        <f t="array" aca="1" ref="Z41" ca="1">IF(AND(Z$22=TRUE,INDEX(CDRANGE_CLS3,MATCH($A41,$A$24:$A$67,0),MATCH(Z$20,$B$20:$G$20,0))&lt;$D$6/OPDAYS_Cls3),86,payback(D41,U41,disc_rate/12,85))</f>
        <v>4</v>
      </c>
      <c r="AA41" s="152" cm="1">
        <f t="array" ref="AA41">IF(AND(AA$22=TRUE,INDEX(CDRANGE_CLS3,MATCH($A41,$A$24:$A$67,0),MATCH(AA$20,$B$20:$G$20,0))&lt;$D$6/OPDAYS_Cls3),86,payback(E41,V41,disc_rate/12,85))</f>
        <v>86</v>
      </c>
      <c r="AB41" s="152" cm="1">
        <f t="array" aca="1" ref="AB41" ca="1">IF(AND(AB$22=TRUE,INDEX(CDRANGE_CLS3,MATCH($A41,$A$24:$A$67,0),MATCH(AB$20,$B$20:$G$20,0))&lt;$D$6/OPDAYS_Cls3),86,payback(F41,W41,disc_rate/12,85))</f>
        <v>86</v>
      </c>
      <c r="AC41" s="153" cm="1">
        <f t="array" aca="1" ref="AC41" ca="1">IF(AND(AC$22=TRUE,INDEX(CDRANGE_CLS3,MATCH($A41,$A$24:$A$67,0),MATCH(AC$20,$B$20:$G$20,0))&lt;$D$6/OPDAYS_Cls3),86,payback(G41,X41,disc_rate/12,85))</f>
        <v>51</v>
      </c>
      <c r="AD41" s="168">
        <f t="shared" si="35"/>
        <v>0</v>
      </c>
      <c r="AE41" s="169">
        <f t="shared" si="36"/>
        <v>0</v>
      </c>
      <c r="AF41" s="169">
        <f t="shared" si="37"/>
        <v>0</v>
      </c>
      <c r="AG41" s="169">
        <f t="shared" si="38"/>
        <v>0</v>
      </c>
      <c r="AH41" s="170">
        <f t="shared" si="39"/>
        <v>0</v>
      </c>
      <c r="AI41" s="442" cm="1">
        <f t="array" ref="AI41">IF($A41&lt;AI$23,0,AI$21+VLOOKUP($A41-AI$23,SCdata,2,1)*(AI$22-AI$21))*IF($D$5="Non-Central",INDEX(fuel_avail,$A41-$A$24+1,MATCH(O$21,Fuels,0)),1)</f>
        <v>0</v>
      </c>
      <c r="AJ41" s="172" cm="1">
        <f t="array" ref="AJ41">IF($A41&lt;AJ$23,0,AJ$21+VLOOKUP($A41-AJ$23,SCdata,2,1)*(AJ$22-AJ$21))*IF($D$5="Non-Central",INDEX(fuel_avail,$A41-$A$24+1,MATCH(P$21,Fuels,0)),1)</f>
        <v>0</v>
      </c>
      <c r="AK41" s="172" cm="1">
        <f t="array" ref="AK41">IF($A41&lt;AK$23,0,AK$21+VLOOKUP($A41-AK$23,SCdata,2,1)*(AK$22-AK$21))*IF($D$5="Non-Central",INDEX(fuel_avail,$A41-$A$24+1,MATCH(Q$21,Fuels,0)),1)</f>
        <v>0</v>
      </c>
      <c r="AL41" s="172" cm="1">
        <f t="array" ref="AL41">IF($A41&lt;AL$23,0,AL$21+VLOOKUP($A41-AL$23,SCdata,2,1)*(AL$22-AL$21))*IF($D$5="Non-Central",INDEX(fuel_avail,$A41-$A$24+1,MATCH(R$21,Fuels,0)),1)</f>
        <v>0</v>
      </c>
      <c r="AM41" s="445" cm="1">
        <f t="array" ref="AM41">IF($A41&lt;AM$23,0,AM$21+VLOOKUP($A41-AM$23,SCdata,2,1)*(AM$22-AM$21))*IF($D$5="Non-Central",INDEX(fuel_avail,$A41-$A$24+1,MATCH(S$21,Fuels,0)),1)</f>
        <v>0</v>
      </c>
      <c r="AN41" s="171">
        <f t="shared" si="52"/>
        <v>0.99998974799166074</v>
      </c>
      <c r="AO41" s="172">
        <f t="shared" si="52"/>
        <v>0.9850001182436442</v>
      </c>
      <c r="AP41" s="172">
        <f t="shared" si="52"/>
        <v>3.8142822234021878E-12</v>
      </c>
      <c r="AQ41" s="172">
        <f t="shared" si="52"/>
        <v>3.9596049728812255E-2</v>
      </c>
      <c r="AR41" s="445">
        <f t="shared" si="52"/>
        <v>1.5606199370240548E-3</v>
      </c>
      <c r="AS41" s="168">
        <f t="shared" ca="1" si="41"/>
        <v>0</v>
      </c>
      <c r="AT41" s="169">
        <f t="shared" ca="1" si="42"/>
        <v>0</v>
      </c>
      <c r="AU41" s="169">
        <f t="shared" si="43"/>
        <v>0</v>
      </c>
      <c r="AV41" s="169">
        <f t="shared" ca="1" si="44"/>
        <v>0</v>
      </c>
      <c r="AW41" s="170">
        <f t="shared" ca="1" si="45"/>
        <v>0</v>
      </c>
      <c r="AX41" s="168">
        <f t="shared" ca="1" si="46"/>
        <v>0</v>
      </c>
      <c r="AY41" s="169">
        <f t="shared" ca="1" si="46"/>
        <v>0</v>
      </c>
      <c r="AZ41" s="169">
        <f t="shared" si="46"/>
        <v>0</v>
      </c>
      <c r="BA41" s="169">
        <f t="shared" ca="1" si="46"/>
        <v>0</v>
      </c>
      <c r="BB41" s="170">
        <f t="shared" ca="1" si="46"/>
        <v>0</v>
      </c>
      <c r="BC41" s="168">
        <f t="shared" ca="1" si="53"/>
        <v>1</v>
      </c>
      <c r="BD41" s="169">
        <f t="shared" ca="1" si="47"/>
        <v>0</v>
      </c>
      <c r="BE41" s="169">
        <f t="shared" ca="1" si="48"/>
        <v>0</v>
      </c>
      <c r="BF41" s="169">
        <f t="shared" ca="1" si="49"/>
        <v>0</v>
      </c>
      <c r="BG41" s="169">
        <f t="shared" ca="1" si="50"/>
        <v>0</v>
      </c>
      <c r="BH41" s="170">
        <f t="shared" ca="1" si="51"/>
        <v>0</v>
      </c>
    </row>
    <row r="42" spans="1:62" ht="13.5" thickBot="1" x14ac:dyDescent="0.25">
      <c r="A42" s="174">
        <v>2025</v>
      </c>
      <c r="B42" s="670" cm="1">
        <f t="array" ref="B42">ROUND(INDEX(COST_Cls3,$A42-($A$24-1),MATCH(B$20,TECHOPTS_Cls3,0)),2)</f>
        <v>82881.919999999998</v>
      </c>
      <c r="C42" s="671" cm="1">
        <f t="array" ref="C42">ROUND(INDEX(COST_Cls3,$A42-($A$24-1),MATCH(C$20,TECHOPTS_Cls3,0)),2)</f>
        <v>216.86</v>
      </c>
      <c r="D42" s="671" cm="1">
        <f t="array" ref="D42">ROUND(INDEX(COST_Cls3,$A42-($A$24-1),MATCH(D$20,TECHOPTS_Cls3,0)),2)</f>
        <v>5845.81</v>
      </c>
      <c r="E42" s="671" cm="1">
        <f t="array" ref="E42">ROUND(INDEX(COST_Cls3,$A42-($A$24-1),MATCH(E$20,TECHOPTS_Cls3,0)),2)</f>
        <v>228958.77</v>
      </c>
      <c r="F42" s="671" cm="1">
        <f t="array" ref="F42">ROUND(INDEX(COST_Cls3,$A42-($A$24-1),MATCH(F$20,TECHOPTS_Cls3,0)),2)</f>
        <v>81040.41</v>
      </c>
      <c r="G42" s="672" cm="1">
        <f t="array" ref="G42">ROUND(INDEX(COST_Cls3,$A42-($A$24-1),MATCH(G$20,TECHOPTS_Cls3,0)),2)</f>
        <v>113361.61</v>
      </c>
      <c r="H42" s="628" cm="1">
        <f t="array" ref="H42">IF(H$21="Single-fuel",1,1-MIN(INDEX(CDRANGE_CLS3,$A42-($A$24-1),MATCH(H$20,TECHOPTS_Cls3,0))*OPDAYS_Cls3/$D$6,1))</f>
        <v>1</v>
      </c>
      <c r="I42" s="629" cm="1">
        <f t="array" ref="I42">IF(I$21="Single-fuel",1,1-MIN(INDEX(CDRANGE_CLS3,$A42-($A$24-1),MATCH(I$20,TECHOPTS_Cls3,0))*OPDAYS_Cls3/$D$6,1))</f>
        <v>1</v>
      </c>
      <c r="J42" s="629" cm="1">
        <f t="array" ref="J42">IF(J$21="Single-fuel",1,1-MIN(INDEX(CDRANGE_CLS3,$A42-($A$24-1),MATCH(J$20,TECHOPTS_Cls3,0))*OPDAYS_Cls3/$D$6,1))</f>
        <v>1</v>
      </c>
      <c r="K42" s="629" cm="1">
        <f t="array" ref="K42">IF(K$21="Single-fuel",1,1-MIN(INDEX(CDRANGE_CLS3,$A42-($A$24-1),MATCH(K$20,TECHOPTS_Cls3,0))*OPDAYS_Cls3/$D$6,1))</f>
        <v>1</v>
      </c>
      <c r="L42" s="629" cm="1">
        <f t="array" ref="L42">IF(L$21="Single-fuel",1,1-MIN(INDEX(CDRANGE_CLS3,$A42-($A$24-1),MATCH(L$20,TECHOPTS_Cls3,0))*OPDAYS_Cls3/$D$6,1))</f>
        <v>1</v>
      </c>
      <c r="M42" s="630" cm="1">
        <f t="array" ref="M42">IF(M$21="Single-fuel",1,1-MIN(INDEX(CDRANGE_CLS3,$A42-($A$24-1),MATCH(M$20,TECHOPTS_Cls3,0))*OPDAYS_Cls3/$D$6,1))</f>
        <v>0.86081107139957358</v>
      </c>
      <c r="N42" s="730"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626"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8409.4822879029634</v>
      </c>
      <c r="P42" s="626"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6602.1439051081534</v>
      </c>
      <c r="Q42" s="626"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7944.512937839997</v>
      </c>
      <c r="R42" s="626"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8638.160753387383</v>
      </c>
      <c r="S42" s="627"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5657.5070492671102</v>
      </c>
      <c r="T42" s="584">
        <f t="shared" si="30"/>
        <v>125.35904687893344</v>
      </c>
      <c r="U42" s="176">
        <f t="shared" si="31"/>
        <v>1932.6974296737435</v>
      </c>
      <c r="V42" s="176">
        <f t="shared" si="32"/>
        <v>590.32839694189988</v>
      </c>
      <c r="W42" s="176">
        <f t="shared" si="33"/>
        <v>-103.31941860548613</v>
      </c>
      <c r="X42" s="177">
        <f t="shared" si="34"/>
        <v>2877.3342855147866</v>
      </c>
      <c r="Y42" s="735" cm="1">
        <f t="array" aca="1" ref="Y42" ca="1">IF(AND(Y$22=TRUE,INDEX(CDRANGE_CLS3,MATCH($A42,$A$24:$A$67,0),MATCH(Y$20,$B$20:$G$20,0))&lt;$D$6/OPDAYS_Cls3),86,payback(C42,T42,disc_rate/12,85))</f>
        <v>2</v>
      </c>
      <c r="Z42" s="736" cm="1">
        <f t="array" aca="1" ref="Z42" ca="1">IF(AND(Z$22=TRUE,INDEX(CDRANGE_CLS3,MATCH($A42,$A$24:$A$67,0),MATCH(Z$20,$B$20:$G$20,0))&lt;$D$6/OPDAYS_Cls3),86,payback(D42,U42,disc_rate/12,85))</f>
        <v>4</v>
      </c>
      <c r="AA42" s="736" cm="1">
        <f t="array" ref="AA42">IF(AND(AA$22=TRUE,INDEX(CDRANGE_CLS3,MATCH($A42,$A$24:$A$67,0),MATCH(AA$20,$B$20:$G$20,0))&lt;$D$6/OPDAYS_Cls3),86,payback(E42,V42,disc_rate/12,85))</f>
        <v>86</v>
      </c>
      <c r="AB42" s="736" cm="1">
        <f t="array" aca="1" ref="AB42" ca="1">IF(AND(AB$22=TRUE,INDEX(CDRANGE_CLS3,MATCH($A42,$A$24:$A$67,0),MATCH(AB$20,$B$20:$G$20,0))&lt;$D$6/OPDAYS_Cls3),86,payback(F42,W42,disc_rate/12,85))</f>
        <v>86</v>
      </c>
      <c r="AC42" s="737" cm="1">
        <f t="array" aca="1" ref="AC42" ca="1">IF(AND(AC$22=TRUE,INDEX(CDRANGE_CLS3,MATCH($A42,$A$24:$A$67,0),MATCH(AC$20,$B$20:$G$20,0))&lt;$D$6/OPDAYS_Cls3),86,payback(G42,X42,disc_rate/12,85))</f>
        <v>46</v>
      </c>
      <c r="AD42" s="182">
        <f t="shared" si="35"/>
        <v>0</v>
      </c>
      <c r="AE42" s="183">
        <f t="shared" si="36"/>
        <v>0</v>
      </c>
      <c r="AF42" s="183">
        <f t="shared" si="37"/>
        <v>0</v>
      </c>
      <c r="AG42" s="183">
        <f t="shared" si="38"/>
        <v>0</v>
      </c>
      <c r="AH42" s="184">
        <f t="shared" si="39"/>
        <v>0</v>
      </c>
      <c r="AI42" s="443" cm="1">
        <f t="array" ref="AI42">IF($A42&lt;AI$23,0,AI$21+VLOOKUP($A42-AI$23,SCdata,2,1)*(AI$22-AI$21))*IF($D$5="Non-Central",INDEX(fuel_avail,$A42-$A$24+1,MATCH(O$21,Fuels,0)),1)</f>
        <v>0</v>
      </c>
      <c r="AJ42" s="186" cm="1">
        <f t="array" ref="AJ42">IF($A42&lt;AJ$23,0,AJ$21+VLOOKUP($A42-AJ$23,SCdata,2,1)*(AJ$22-AJ$21))*IF($D$5="Non-Central",INDEX(fuel_avail,$A42-$A$24+1,MATCH(P$21,Fuels,0)),1)</f>
        <v>0</v>
      </c>
      <c r="AK42" s="186" cm="1">
        <f t="array" ref="AK42">IF($A42&lt;AK$23,0,AK$21+VLOOKUP($A42-AK$23,SCdata,2,1)*(AK$22-AK$21))*IF($D$5="Non-Central",INDEX(fuel_avail,$A42-$A$24+1,MATCH(Q$21,Fuels,0)),1)</f>
        <v>0</v>
      </c>
      <c r="AL42" s="186" cm="1">
        <f t="array" ref="AL42">IF($A42&lt;AL$23,0,AL$21+VLOOKUP($A42-AL$23,SCdata,2,1)*(AL$22-AL$21))*IF($D$5="Non-Central",INDEX(fuel_avail,$A42-$A$24+1,MATCH(R$21,Fuels,0)),1)</f>
        <v>0</v>
      </c>
      <c r="AM42" s="446" cm="1">
        <f t="array" ref="AM42">IF($A42&lt;AM$23,0,AM$21+VLOOKUP($A42-AM$23,SCdata,2,1)*(AM$22-AM$21))*IF($D$5="Non-Central",INDEX(fuel_avail,$A42-$A$24+1,MATCH(S$21,Fuels,0)),1)</f>
        <v>0</v>
      </c>
      <c r="AN42" s="185">
        <f t="shared" si="52"/>
        <v>0.99998098340880892</v>
      </c>
      <c r="AO42" s="186">
        <f t="shared" si="52"/>
        <v>0.98627633693956773</v>
      </c>
      <c r="AP42" s="186">
        <f t="shared" si="52"/>
        <v>6.2212412998974287E-10</v>
      </c>
      <c r="AQ42" s="186">
        <f t="shared" si="52"/>
        <v>7.0248728090811063E-2</v>
      </c>
      <c r="AR42" s="446">
        <f t="shared" si="52"/>
        <v>5.5359743288365681E-3</v>
      </c>
      <c r="AS42" s="182">
        <f t="shared" ca="1" si="41"/>
        <v>0</v>
      </c>
      <c r="AT42" s="183">
        <f t="shared" ca="1" si="42"/>
        <v>0</v>
      </c>
      <c r="AU42" s="183">
        <f t="shared" si="43"/>
        <v>0</v>
      </c>
      <c r="AV42" s="183">
        <f t="shared" ca="1" si="44"/>
        <v>0</v>
      </c>
      <c r="AW42" s="184">
        <f t="shared" ca="1" si="45"/>
        <v>0</v>
      </c>
      <c r="AX42" s="182">
        <f t="shared" ca="1" si="46"/>
        <v>0</v>
      </c>
      <c r="AY42" s="183">
        <f t="shared" ca="1" si="46"/>
        <v>0</v>
      </c>
      <c r="AZ42" s="183">
        <f t="shared" si="46"/>
        <v>0</v>
      </c>
      <c r="BA42" s="183">
        <f t="shared" ca="1" si="46"/>
        <v>0</v>
      </c>
      <c r="BB42" s="184">
        <f t="shared" ca="1" si="46"/>
        <v>0</v>
      </c>
      <c r="BC42" s="182">
        <f t="shared" ca="1" si="53"/>
        <v>1</v>
      </c>
      <c r="BD42" s="183">
        <f t="shared" ca="1" si="47"/>
        <v>0</v>
      </c>
      <c r="BE42" s="183">
        <f t="shared" ca="1" si="48"/>
        <v>0</v>
      </c>
      <c r="BF42" s="183">
        <f t="shared" ca="1" si="49"/>
        <v>0</v>
      </c>
      <c r="BG42" s="183">
        <f t="shared" ca="1" si="50"/>
        <v>0</v>
      </c>
      <c r="BH42" s="184">
        <f t="shared" ca="1" si="51"/>
        <v>0</v>
      </c>
      <c r="BJ42" s="387"/>
    </row>
    <row r="43" spans="1:62" x14ac:dyDescent="0.2">
      <c r="A43" s="188">
        <v>2026</v>
      </c>
      <c r="B43" s="673" cm="1">
        <f t="array" ref="B43">ROUND(INDEX(COST_Cls3,$A43-($A$24-1),MATCH(B$20,TECHOPTS_Cls3,0)),2)</f>
        <v>83172.179999999993</v>
      </c>
      <c r="C43" s="674" cm="1">
        <f t="array" ref="C43">ROUND(INDEX(COST_Cls3,$A43-($A$24-1),MATCH(C$20,TECHOPTS_Cls3,0)),2)</f>
        <v>261.25</v>
      </c>
      <c r="D43" s="674" cm="1">
        <f t="array" ref="D43">ROUND(INDEX(COST_Cls3,$A43-($A$24-1),MATCH(D$20,TECHOPTS_Cls3,0)),2)</f>
        <v>5657.85</v>
      </c>
      <c r="E43" s="674" cm="1">
        <f t="array" ref="E43">ROUND(INDEX(COST_Cls3,$A43-($A$24-1),MATCH(E$20,TECHOPTS_Cls3,0)),2)</f>
        <v>209778.42</v>
      </c>
      <c r="F43" s="674" cm="1">
        <f t="array" ref="F43">ROUND(INDEX(COST_Cls3,$A43-($A$24-1),MATCH(F$20,TECHOPTS_Cls3,0)),2)</f>
        <v>74931.06</v>
      </c>
      <c r="G43" s="675" cm="1">
        <f t="array" ref="G43">ROUND(INDEX(COST_Cls3,$A43-($A$24-1),MATCH(G$20,TECHOPTS_Cls3,0)),2)</f>
        <v>103736.07</v>
      </c>
      <c r="H43" s="628" cm="1">
        <f t="array" ref="H43">IF(H$21="Single-fuel",1,1-MIN(INDEX(CDRANGE_CLS3,$A43-($A$24-1),MATCH(H$20,TECHOPTS_Cls3,0))*OPDAYS_Cls3/$D$6,1))</f>
        <v>1</v>
      </c>
      <c r="I43" s="629" cm="1">
        <f t="array" ref="I43">IF(I$21="Single-fuel",1,1-MIN(INDEX(CDRANGE_CLS3,$A43-($A$24-1),MATCH(I$20,TECHOPTS_Cls3,0))*OPDAYS_Cls3/$D$6,1))</f>
        <v>1</v>
      </c>
      <c r="J43" s="629" cm="1">
        <f t="array" ref="J43">IF(J$21="Single-fuel",1,1-MIN(INDEX(CDRANGE_CLS3,$A43-($A$24-1),MATCH(J$20,TECHOPTS_Cls3,0))*OPDAYS_Cls3/$D$6,1))</f>
        <v>1</v>
      </c>
      <c r="K43" s="629" cm="1">
        <f t="array" ref="K43">IF(K$21="Single-fuel",1,1-MIN(INDEX(CDRANGE_CLS3,$A43-($A$24-1),MATCH(K$20,TECHOPTS_Cls3,0))*OPDAYS_Cls3/$D$6,1))</f>
        <v>1</v>
      </c>
      <c r="L43" s="629" cm="1">
        <f t="array" ref="L43">IF(L$21="Single-fuel",1,1-MIN(INDEX(CDRANGE_CLS3,$A43-($A$24-1),MATCH(L$20,TECHOPTS_Cls3,0))*OPDAYS_Cls3/$D$6,1))</f>
        <v>1</v>
      </c>
      <c r="M43" s="630" cm="1">
        <f t="array" ref="M43">IF(M$21="Single-fuel",1,1-MIN(INDEX(CDRANGE_CLS3,$A43-($A$24-1),MATCH(M$20,TECHOPTS_Cls3,0))*OPDAYS_Cls3/$D$6,1))</f>
        <v>0.86189083014509515</v>
      </c>
      <c r="N43" s="580"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148"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8397.7646667418103</v>
      </c>
      <c r="P43" s="148"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6572.8047664543046</v>
      </c>
      <c r="Q43" s="148"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7945.3509871109454</v>
      </c>
      <c r="R43" s="148"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8328.0905942059817</v>
      </c>
      <c r="S43" s="150"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5622.0609193894097</v>
      </c>
      <c r="T43" s="580">
        <f t="shared" si="30"/>
        <v>58.171531592686733</v>
      </c>
      <c r="U43" s="148">
        <f t="shared" si="31"/>
        <v>1883.1314318801924</v>
      </c>
      <c r="V43" s="148">
        <f t="shared" si="32"/>
        <v>510.5852112235516</v>
      </c>
      <c r="W43" s="148">
        <f t="shared" si="33"/>
        <v>127.84560412851533</v>
      </c>
      <c r="X43" s="149">
        <f t="shared" si="34"/>
        <v>2833.8752789450873</v>
      </c>
      <c r="Y43" s="151" cm="1">
        <f t="array" aca="1" ref="Y43" ca="1">IF(AND(Y$22=TRUE,INDEX(CDRANGE_CLS3,MATCH($A43,$A$24:$A$67,0),MATCH(Y$20,$B$20:$G$20,0))&lt;$D$6/OPDAYS_Cls3),86,payback(C43,T43,disc_rate/12,85))</f>
        <v>5</v>
      </c>
      <c r="Z43" s="152" cm="1">
        <f t="array" aca="1" ref="Z43" ca="1">IF(AND(Z$22=TRUE,INDEX(CDRANGE_CLS3,MATCH($A43,$A$24:$A$67,0),MATCH(Z$20,$B$20:$G$20,0))&lt;$D$6/OPDAYS_Cls3),86,payback(D43,U43,disc_rate/12,85))</f>
        <v>4</v>
      </c>
      <c r="AA43" s="152" cm="1">
        <f t="array" ref="AA43">IF(AND(AA$22=TRUE,INDEX(CDRANGE_CLS3,MATCH($A43,$A$24:$A$67,0),MATCH(AA$20,$B$20:$G$20,0))&lt;$D$6/OPDAYS_Cls3),86,payback(E43,V43,disc_rate/12,85))</f>
        <v>86</v>
      </c>
      <c r="AB43" s="152" cm="1">
        <f t="array" aca="1" ref="AB43" ca="1">IF(AND(AB$22=TRUE,INDEX(CDRANGE_CLS3,MATCH($A43,$A$24:$A$67,0),MATCH(AB$20,$B$20:$G$20,0))&lt;$D$6/OPDAYS_Cls3),86,payback(F43,W43,disc_rate/12,85))</f>
        <v>86</v>
      </c>
      <c r="AC43" s="153" cm="1">
        <f t="array" aca="1" ref="AC43" ca="1">IF(AND(AC$22=TRUE,INDEX(CDRANGE_CLS3,MATCH($A43,$A$24:$A$67,0),MATCH(AC$20,$B$20:$G$20,0))&lt;$D$6/OPDAYS_Cls3),86,payback(G43,X43,disc_rate/12,85))</f>
        <v>42</v>
      </c>
      <c r="AD43" s="154">
        <f t="shared" si="35"/>
        <v>0</v>
      </c>
      <c r="AE43" s="155">
        <f t="shared" si="36"/>
        <v>0</v>
      </c>
      <c r="AF43" s="155">
        <f t="shared" si="37"/>
        <v>0</v>
      </c>
      <c r="AG43" s="155">
        <f t="shared" si="38"/>
        <v>0</v>
      </c>
      <c r="AH43" s="156">
        <f t="shared" si="39"/>
        <v>0</v>
      </c>
      <c r="AI43" s="441" cm="1">
        <f t="array" ref="AI43">IF($A43&lt;AI$23,0,AI$21+VLOOKUP($A43-AI$23,SCdata,2,1)*(AI$22-AI$21))*IF($D$5="Non-Central",INDEX(fuel_avail,$A43-$A$24+1,MATCH(O$21,Fuels,0)),1)</f>
        <v>2.3712936588783391E-2</v>
      </c>
      <c r="AJ43" s="158" cm="1">
        <f t="array" ref="AJ43">IF($A43&lt;AJ$23,0,AJ$21+VLOOKUP($A43-AJ$23,SCdata,2,1)*(AJ$22-AJ$21))*IF($D$5="Non-Central",INDEX(fuel_avail,$A43-$A$24+1,MATCH(P$21,Fuels,0)),1)</f>
        <v>2.3712936588783391E-2</v>
      </c>
      <c r="AK43" s="158" cm="1">
        <f t="array" ref="AK43">IF($A43&lt;AK$23,0,AK$21+VLOOKUP($A43-AK$23,SCdata,2,1)*(AK$22-AK$21))*IF($D$5="Non-Central",INDEX(fuel_avail,$A43-$A$24+1,MATCH(Q$21,Fuels,0)),1)</f>
        <v>2.3712936588783391E-2</v>
      </c>
      <c r="AL43" s="158" cm="1">
        <f t="array" ref="AL43">IF($A43&lt;AL$23,0,AL$21+VLOOKUP($A43-AL$23,SCdata,2,1)*(AL$22-AL$21))*IF($D$5="Non-Central",INDEX(fuel_avail,$A43-$A$24+1,MATCH(R$21,Fuels,0)),1)</f>
        <v>2.3712936588783391E-2</v>
      </c>
      <c r="AM43" s="458" cm="1">
        <f t="array" ref="AM43">IF($A43&lt;AM$23,0,AM$21+VLOOKUP($A43-AM$23,SCdata,2,1)*(AM$22-AM$21))*IF($D$5="Non-Central",INDEX(fuel_avail,$A43-$A$24+1,MATCH(S$21,Fuels,0)),1)</f>
        <v>2.3712936588783391E-2</v>
      </c>
      <c r="AN43" s="157">
        <f t="shared" si="52"/>
        <v>0.99997259385339088</v>
      </c>
      <c r="AO43" s="158">
        <f t="shared" si="52"/>
        <v>0.98722808764135028</v>
      </c>
      <c r="AP43" s="158">
        <f t="shared" si="52"/>
        <v>2.1161672858482916E-8</v>
      </c>
      <c r="AQ43" s="158">
        <f t="shared" si="52"/>
        <v>0.10491790915897492</v>
      </c>
      <c r="AR43" s="458">
        <f t="shared" si="52"/>
        <v>1.3284390051245598E-2</v>
      </c>
      <c r="AS43" s="154">
        <f t="shared" ca="1" si="41"/>
        <v>4.7425873177566781E-2</v>
      </c>
      <c r="AT43" s="155">
        <f t="shared" ca="1" si="42"/>
        <v>4.7425873177566781E-2</v>
      </c>
      <c r="AU43" s="155">
        <f t="shared" si="43"/>
        <v>0</v>
      </c>
      <c r="AV43" s="155">
        <f t="shared" ca="1" si="44"/>
        <v>0</v>
      </c>
      <c r="AW43" s="156">
        <f t="shared" ca="1" si="45"/>
        <v>5.9561549280143155E-3</v>
      </c>
      <c r="AX43" s="154">
        <f t="shared" ca="1" si="46"/>
        <v>4.7424573417133409E-2</v>
      </c>
      <c r="AY43" s="155">
        <f t="shared" ca="1" si="46"/>
        <v>4.6820154081810464E-2</v>
      </c>
      <c r="AZ43" s="155">
        <f t="shared" si="46"/>
        <v>0</v>
      </c>
      <c r="BA43" s="155">
        <f t="shared" ca="1" si="46"/>
        <v>0</v>
      </c>
      <c r="BB43" s="156">
        <f t="shared" ca="1" si="46"/>
        <v>7.9123885269390815E-5</v>
      </c>
      <c r="BC43" s="154">
        <f t="shared" ca="1" si="53"/>
        <v>0.95257542658286654</v>
      </c>
      <c r="BD43" s="155">
        <f t="shared" ca="1" si="47"/>
        <v>2.3844341921915004E-2</v>
      </c>
      <c r="BE43" s="155">
        <f t="shared" ca="1" si="48"/>
        <v>2.354044922964146E-2</v>
      </c>
      <c r="BF43" s="155">
        <f t="shared" ca="1" si="49"/>
        <v>0</v>
      </c>
      <c r="BG43" s="155">
        <f t="shared" ca="1" si="50"/>
        <v>0</v>
      </c>
      <c r="BH43" s="156">
        <f t="shared" ca="1" si="51"/>
        <v>3.9782265576945024E-5</v>
      </c>
    </row>
    <row r="44" spans="1:62" x14ac:dyDescent="0.2">
      <c r="A44" s="189">
        <v>2027</v>
      </c>
      <c r="B44" s="667" cm="1">
        <f t="array" ref="B44">ROUND(INDEX(COST_Cls3,$A44-($A$24-1),MATCH(B$20,TECHOPTS_Cls3,0)),2)</f>
        <v>83484.73</v>
      </c>
      <c r="C44" s="668" cm="1">
        <f t="array" ref="C44">ROUND(INDEX(COST_Cls3,$A44-($A$24-1),MATCH(C$20,TECHOPTS_Cls3,0)),2)</f>
        <v>317.35000000000002</v>
      </c>
      <c r="D44" s="668" cm="1">
        <f t="array" ref="D44">ROUND(INDEX(COST_Cls3,$A44-($A$24-1),MATCH(D$20,TECHOPTS_Cls3,0)),2)</f>
        <v>5420.35</v>
      </c>
      <c r="E44" s="668" cm="1">
        <f t="array" ref="E44">ROUND(INDEX(COST_Cls3,$A44-($A$24-1),MATCH(E$20,TECHOPTS_Cls3,0)),2)</f>
        <v>185542.35</v>
      </c>
      <c r="F44" s="668" cm="1">
        <f t="array" ref="F44">ROUND(INDEX(COST_Cls3,$A44-($A$24-1),MATCH(F$20,TECHOPTS_Cls3,0)),2)</f>
        <v>67211.350000000006</v>
      </c>
      <c r="G44" s="669" cm="1">
        <f t="array" ref="G44">ROUND(INDEX(COST_Cls3,$A44-($A$24-1),MATCH(G$20,TECHOPTS_Cls3,0)),2)</f>
        <v>91573.35</v>
      </c>
      <c r="H44" s="628" cm="1">
        <f t="array" ref="H44">IF(H$21="Single-fuel",1,1-MIN(INDEX(CDRANGE_CLS3,$A44-($A$24-1),MATCH(H$20,TECHOPTS_Cls3,0))*OPDAYS_Cls3/$D$6,1))</f>
        <v>1</v>
      </c>
      <c r="I44" s="629" cm="1">
        <f t="array" ref="I44">IF(I$21="Single-fuel",1,1-MIN(INDEX(CDRANGE_CLS3,$A44-($A$24-1),MATCH(I$20,TECHOPTS_Cls3,0))*OPDAYS_Cls3/$D$6,1))</f>
        <v>1</v>
      </c>
      <c r="J44" s="629" cm="1">
        <f t="array" ref="J44">IF(J$21="Single-fuel",1,1-MIN(INDEX(CDRANGE_CLS3,$A44-($A$24-1),MATCH(J$20,TECHOPTS_Cls3,0))*OPDAYS_Cls3/$D$6,1))</f>
        <v>1</v>
      </c>
      <c r="K44" s="629" cm="1">
        <f t="array" ref="K44">IF(K$21="Single-fuel",1,1-MIN(INDEX(CDRANGE_CLS3,$A44-($A$24-1),MATCH(K$20,TECHOPTS_Cls3,0))*OPDAYS_Cls3/$D$6,1))</f>
        <v>1</v>
      </c>
      <c r="L44" s="629" cm="1">
        <f t="array" ref="L44">IF(L$21="Single-fuel",1,1-MIN(INDEX(CDRANGE_CLS3,$A44-($A$24-1),MATCH(L$20,TECHOPTS_Cls3,0))*OPDAYS_Cls3/$D$6,1))</f>
        <v>1</v>
      </c>
      <c r="M44" s="630" cm="1">
        <f t="array" ref="M44">IF(M$21="Single-fuel",1,1-MIN(INDEX(CDRANGE_CLS3,$A44-($A$24-1),MATCH(M$20,TECHOPTS_Cls3,0))*OPDAYS_Cls3/$D$6,1))</f>
        <v>0.86325520137728218</v>
      </c>
      <c r="N44" s="580"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148"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8217.7485457683233</v>
      </c>
      <c r="P44" s="148"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6408.2319745488248</v>
      </c>
      <c r="Q44" s="148"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7837.7287750889245</v>
      </c>
      <c r="R44" s="148"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7990.19917797582</v>
      </c>
      <c r="S44" s="150"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5475.0296528622066</v>
      </c>
      <c r="T44" s="581">
        <f t="shared" si="30"/>
        <v>19.268914409376521</v>
      </c>
      <c r="U44" s="162">
        <f t="shared" si="31"/>
        <v>1828.785485628875</v>
      </c>
      <c r="V44" s="162">
        <f t="shared" si="32"/>
        <v>399.28868508877531</v>
      </c>
      <c r="W44" s="162">
        <f t="shared" si="33"/>
        <v>246.81828220187981</v>
      </c>
      <c r="X44" s="163">
        <f t="shared" si="34"/>
        <v>2761.9878073154932</v>
      </c>
      <c r="Y44" s="151" cm="1">
        <f t="array" aca="1" ref="Y44" ca="1">IF(AND(Y$22=TRUE,INDEX(CDRANGE_CLS3,MATCH($A44,$A$24:$A$67,0),MATCH(Y$20,$B$20:$G$20,0))&lt;$D$6/OPDAYS_Cls3),86,payback(C44,T44,disc_rate/12,85))</f>
        <v>18</v>
      </c>
      <c r="Z44" s="152" cm="1">
        <f t="array" aca="1" ref="Z44" ca="1">IF(AND(Z$22=TRUE,INDEX(CDRANGE_CLS3,MATCH($A44,$A$24:$A$67,0),MATCH(Z$20,$B$20:$G$20,0))&lt;$D$6/OPDAYS_Cls3),86,payback(D44,U44,disc_rate/12,85))</f>
        <v>4</v>
      </c>
      <c r="AA44" s="152" cm="1">
        <f t="array" ref="AA44">IF(AND(AA$22=TRUE,INDEX(CDRANGE_CLS3,MATCH($A44,$A$24:$A$67,0),MATCH(AA$20,$B$20:$G$20,0))&lt;$D$6/OPDAYS_Cls3),86,payback(E44,V44,disc_rate/12,85))</f>
        <v>86</v>
      </c>
      <c r="AB44" s="152" cm="1">
        <f t="array" aca="1" ref="AB44" ca="1">IF(AND(AB$22=TRUE,INDEX(CDRANGE_CLS3,MATCH($A44,$A$24:$A$67,0),MATCH(AB$20,$B$20:$G$20,0))&lt;$D$6/OPDAYS_Cls3),86,payback(F44,W44,disc_rate/12,85))</f>
        <v>86</v>
      </c>
      <c r="AC44" s="153" cm="1">
        <f t="array" aca="1" ref="AC44" ca="1">IF(AND(AC$22=TRUE,INDEX(CDRANGE_CLS3,MATCH($A44,$A$24:$A$67,0),MATCH(AC$20,$B$20:$G$20,0))&lt;$D$6/OPDAYS_Cls3),86,payback(G44,X44,disc_rate/12,85))</f>
        <v>38</v>
      </c>
      <c r="AD44" s="168">
        <f t="shared" si="35"/>
        <v>0</v>
      </c>
      <c r="AE44" s="169">
        <f t="shared" si="36"/>
        <v>0</v>
      </c>
      <c r="AF44" s="169">
        <f t="shared" si="37"/>
        <v>0</v>
      </c>
      <c r="AG44" s="169">
        <f t="shared" si="38"/>
        <v>0</v>
      </c>
      <c r="AH44" s="170">
        <f t="shared" si="39"/>
        <v>0</v>
      </c>
      <c r="AI44" s="442" cm="1">
        <f t="array" ref="AI44">IF($A44&lt;AI$23,0,AI$21+VLOOKUP($A44-AI$23,SCdata,2,1)*(AI$22-AI$21))*IF($D$5="Non-Central",INDEX(fuel_avail,$A44-$A$24+1,MATCH(O$21,Fuels,0)),1)</f>
        <v>5.9601461011058773E-2</v>
      </c>
      <c r="AJ44" s="172" cm="1">
        <f t="array" ref="AJ44">IF($A44&lt;AJ$23,0,AJ$21+VLOOKUP($A44-AJ$23,SCdata,2,1)*(AJ$22-AJ$21))*IF($D$5="Non-Central",INDEX(fuel_avail,$A44-$A$24+1,MATCH(P$21,Fuels,0)),1)</f>
        <v>5.9601461011058773E-2</v>
      </c>
      <c r="AK44" s="172" cm="1">
        <f t="array" ref="AK44">IF($A44&lt;AK$23,0,AK$21+VLOOKUP($A44-AK$23,SCdata,2,1)*(AK$22-AK$21))*IF($D$5="Non-Central",INDEX(fuel_avail,$A44-$A$24+1,MATCH(Q$21,Fuels,0)),1)</f>
        <v>5.9601461011058773E-2</v>
      </c>
      <c r="AL44" s="172" cm="1">
        <f t="array" ref="AL44">IF($A44&lt;AL$23,0,AL$21+VLOOKUP($A44-AL$23,SCdata,2,1)*(AL$22-AL$21))*IF($D$5="Non-Central",INDEX(fuel_avail,$A44-$A$24+1,MATCH(R$21,Fuels,0)),1)</f>
        <v>5.9601461011058773E-2</v>
      </c>
      <c r="AM44" s="445" cm="1">
        <f t="array" ref="AM44">IF($A44&lt;AM$23,0,AM$21+VLOOKUP($A44-AM$23,SCdata,2,1)*(AM$22-AM$21))*IF($D$5="Non-Central",INDEX(fuel_avail,$A44-$A$24+1,MATCH(S$21,Fuels,0)),1)</f>
        <v>5.9601461011058773E-2</v>
      </c>
      <c r="AN44" s="171">
        <f t="shared" si="52"/>
        <v>0.99995986237281576</v>
      </c>
      <c r="AO44" s="172">
        <f t="shared" si="52"/>
        <v>0.98835879697513218</v>
      </c>
      <c r="AP44" s="172">
        <f t="shared" si="52"/>
        <v>1.0996853009315188E-6</v>
      </c>
      <c r="AQ44" s="172">
        <f t="shared" si="52"/>
        <v>0.16523302954920471</v>
      </c>
      <c r="AR44" s="445">
        <f t="shared" si="52"/>
        <v>3.5362027884048741E-2</v>
      </c>
      <c r="AS44" s="168">
        <f t="shared" ca="1" si="41"/>
        <v>8.9447573186007434E-2</v>
      </c>
      <c r="AT44" s="169">
        <f t="shared" ca="1" si="42"/>
        <v>0.11920292202211755</v>
      </c>
      <c r="AU44" s="169">
        <f t="shared" si="43"/>
        <v>0</v>
      </c>
      <c r="AV44" s="169">
        <f t="shared" ca="1" si="44"/>
        <v>0</v>
      </c>
      <c r="AW44" s="170">
        <f t="shared" ca="1" si="45"/>
        <v>2.2252391146167928E-2</v>
      </c>
      <c r="AX44" s="168">
        <f t="shared" ca="1" si="46"/>
        <v>8.9443982972662359E-2</v>
      </c>
      <c r="AY44" s="169">
        <f t="shared" ca="1" si="46"/>
        <v>0.11781525660570059</v>
      </c>
      <c r="AZ44" s="169">
        <f t="shared" si="46"/>
        <v>0</v>
      </c>
      <c r="BA44" s="169">
        <f t="shared" ca="1" si="46"/>
        <v>0</v>
      </c>
      <c r="BB44" s="170">
        <f t="shared" ca="1" si="46"/>
        <v>7.8688967619754959E-4</v>
      </c>
      <c r="BC44" s="168">
        <f t="shared" ca="1" si="53"/>
        <v>0.88218474339429942</v>
      </c>
      <c r="BD44" s="169">
        <f t="shared" ca="1" si="47"/>
        <v>5.0651583105717088E-2</v>
      </c>
      <c r="BE44" s="169">
        <f t="shared" ca="1" si="48"/>
        <v>6.6718062666204642E-2</v>
      </c>
      <c r="BF44" s="169">
        <f t="shared" ca="1" si="49"/>
        <v>0</v>
      </c>
      <c r="BG44" s="169">
        <f t="shared" ca="1" si="50"/>
        <v>0</v>
      </c>
      <c r="BH44" s="170">
        <f t="shared" ca="1" si="51"/>
        <v>4.4561083377886858E-4</v>
      </c>
    </row>
    <row r="45" spans="1:62" x14ac:dyDescent="0.2">
      <c r="A45" s="189">
        <v>2028</v>
      </c>
      <c r="B45" s="667" cm="1">
        <f t="array" ref="B45">ROUND(INDEX(COST_Cls3,$A45-($A$24-1),MATCH(B$20,TECHOPTS_Cls3,0)),2)</f>
        <v>83784.740000000005</v>
      </c>
      <c r="C45" s="668" cm="1">
        <f t="array" ref="C45">ROUND(INDEX(COST_Cls3,$A45-($A$24-1),MATCH(C$20,TECHOPTS_Cls3,0)),2)</f>
        <v>789.61</v>
      </c>
      <c r="D45" s="668" cm="1">
        <f t="array" ref="D45">ROUND(INDEX(COST_Cls3,$A45-($A$24-1),MATCH(D$20,TECHOPTS_Cls3,0)),2)</f>
        <v>5474.12</v>
      </c>
      <c r="E45" s="668" cm="1">
        <f t="array" ref="E45">ROUND(INDEX(COST_Cls3,$A45-($A$24-1),MATCH(E$20,TECHOPTS_Cls3,0)),2)</f>
        <v>170348.93</v>
      </c>
      <c r="F45" s="668" cm="1">
        <f t="array" ref="F45">ROUND(INDEX(COST_Cls3,$A45-($A$24-1),MATCH(F$20,TECHOPTS_Cls3,0)),2)</f>
        <v>64798.720000000001</v>
      </c>
      <c r="G45" s="669" cm="1">
        <f t="array" ref="G45">ROUND(INDEX(COST_Cls3,$A45-($A$24-1),MATCH(G$20,TECHOPTS_Cls3,0)),2)</f>
        <v>84674.89</v>
      </c>
      <c r="H45" s="628" cm="1">
        <f t="array" ref="H45">IF(H$21="Single-fuel",1,1-MIN(INDEX(CDRANGE_CLS3,$A45-($A$24-1),MATCH(H$20,TECHOPTS_Cls3,0))*OPDAYS_Cls3/$D$6,1))</f>
        <v>1</v>
      </c>
      <c r="I45" s="629" cm="1">
        <f t="array" ref="I45">IF(I$21="Single-fuel",1,1-MIN(INDEX(CDRANGE_CLS3,$A45-($A$24-1),MATCH(I$20,TECHOPTS_Cls3,0))*OPDAYS_Cls3/$D$6,1))</f>
        <v>1</v>
      </c>
      <c r="J45" s="629" cm="1">
        <f t="array" ref="J45">IF(J$21="Single-fuel",1,1-MIN(INDEX(CDRANGE_CLS3,$A45-($A$24-1),MATCH(J$20,TECHOPTS_Cls3,0))*OPDAYS_Cls3/$D$6,1))</f>
        <v>1</v>
      </c>
      <c r="K45" s="629" cm="1">
        <f t="array" ref="K45">IF(K$21="Single-fuel",1,1-MIN(INDEX(CDRANGE_CLS3,$A45-($A$24-1),MATCH(K$20,TECHOPTS_Cls3,0))*OPDAYS_Cls3/$D$6,1))</f>
        <v>1</v>
      </c>
      <c r="L45" s="629" cm="1">
        <f t="array" ref="L45">IF(L$21="Single-fuel",1,1-MIN(INDEX(CDRANGE_CLS3,$A45-($A$24-1),MATCH(L$20,TECHOPTS_Cls3,0))*OPDAYS_Cls3/$D$6,1))</f>
        <v>1</v>
      </c>
      <c r="M45" s="630" cm="1">
        <f t="array" ref="M45">IF(M$21="Single-fuel",1,1-MIN(INDEX(CDRANGE_CLS3,$A45-($A$24-1),MATCH(M$20,TECHOPTS_Cls3,0))*OPDAYS_Cls3/$D$6,1))</f>
        <v>0.86319416038787988</v>
      </c>
      <c r="N45" s="580"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148"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8115.6978858045914</v>
      </c>
      <c r="P45" s="148"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6332.8163579455068</v>
      </c>
      <c r="Q45" s="148"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7690.9831872896002</v>
      </c>
      <c r="R45" s="148"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7713.4380692208406</v>
      </c>
      <c r="S45" s="150"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5418.414310051593</v>
      </c>
      <c r="T45" s="581">
        <f t="shared" si="30"/>
        <v>142.99259050438377</v>
      </c>
      <c r="U45" s="162">
        <f t="shared" si="31"/>
        <v>1925.8741183634684</v>
      </c>
      <c r="V45" s="162">
        <f t="shared" si="32"/>
        <v>567.70728901937491</v>
      </c>
      <c r="W45" s="162">
        <f t="shared" si="33"/>
        <v>545.25240708813453</v>
      </c>
      <c r="X45" s="163">
        <f t="shared" si="34"/>
        <v>2840.2761662573821</v>
      </c>
      <c r="Y45" s="151" cm="1">
        <f t="array" aca="1" ref="Y45" ca="1">IF(AND(Y$22=TRUE,INDEX(CDRANGE_CLS3,MATCH($A45,$A$24:$A$67,0),MATCH(Y$20,$B$20:$G$20,0))&lt;$D$6/OPDAYS_Cls3),86,payback(C45,T45,disc_rate/12,85))</f>
        <v>6</v>
      </c>
      <c r="Z45" s="152" cm="1">
        <f t="array" aca="1" ref="Z45" ca="1">IF(AND(Z$22=TRUE,INDEX(CDRANGE_CLS3,MATCH($A45,$A$24:$A$67,0),MATCH(Z$20,$B$20:$G$20,0))&lt;$D$6/OPDAYS_Cls3),86,payback(D45,U45,disc_rate/12,85))</f>
        <v>3</v>
      </c>
      <c r="AA45" s="152" cm="1">
        <f t="array" ref="AA45">IF(AND(AA$22=TRUE,INDEX(CDRANGE_CLS3,MATCH($A45,$A$24:$A$67,0),MATCH(AA$20,$B$20:$G$20,0))&lt;$D$6/OPDAYS_Cls3),86,payback(E45,V45,disc_rate/12,85))</f>
        <v>86</v>
      </c>
      <c r="AB45" s="152" cm="1">
        <f t="array" aca="1" ref="AB45" ca="1">IF(AND(AB$22=TRUE,INDEX(CDRANGE_CLS3,MATCH($A45,$A$24:$A$67,0),MATCH(AB$20,$B$20:$G$20,0))&lt;$D$6/OPDAYS_Cls3),86,payback(F45,W45,disc_rate/12,85))</f>
        <v>86</v>
      </c>
      <c r="AC45" s="153" cm="1">
        <f t="array" aca="1" ref="AC45" ca="1">IF(AND(AC$22=TRUE,INDEX(CDRANGE_CLS3,MATCH($A45,$A$24:$A$67,0),MATCH(AC$20,$B$20:$G$20,0))&lt;$D$6/OPDAYS_Cls3),86,payback(G45,X45,disc_rate/12,85))</f>
        <v>34</v>
      </c>
      <c r="AD45" s="168">
        <f t="shared" si="35"/>
        <v>0</v>
      </c>
      <c r="AE45" s="169">
        <f t="shared" si="36"/>
        <v>0</v>
      </c>
      <c r="AF45" s="169">
        <f t="shared" si="37"/>
        <v>0</v>
      </c>
      <c r="AG45" s="169">
        <f t="shared" si="38"/>
        <v>0</v>
      </c>
      <c r="AH45" s="170">
        <f t="shared" si="39"/>
        <v>0</v>
      </c>
      <c r="AI45" s="442" cm="1">
        <f t="array" ref="AI45">IF($A45&lt;AI$23,0,AI$21+VLOOKUP($A45-AI$23,SCdata,2,1)*(AI$22-AI$21))*IF($D$5="Non-Central",INDEX(fuel_avail,$A45-$A$24+1,MATCH(O$21,Fuels,0)),1)</f>
        <v>0.13447071068499755</v>
      </c>
      <c r="AJ45" s="172" cm="1">
        <f t="array" ref="AJ45">IF($A45&lt;AJ$23,0,AJ$21+VLOOKUP($A45-AJ$23,SCdata,2,1)*(AJ$22-AJ$21))*IF($D$5="Non-Central",INDEX(fuel_avail,$A45-$A$24+1,MATCH(P$21,Fuels,0)),1)</f>
        <v>0.13447071068499755</v>
      </c>
      <c r="AK45" s="172" cm="1">
        <f t="array" ref="AK45">IF($A45&lt;AK$23,0,AK$21+VLOOKUP($A45-AK$23,SCdata,2,1)*(AK$22-AK$21))*IF($D$5="Non-Central",INDEX(fuel_avail,$A45-$A$24+1,MATCH(Q$21,Fuels,0)),1)</f>
        <v>0.13447071068499755</v>
      </c>
      <c r="AL45" s="172" cm="1">
        <f t="array" ref="AL45">IF($A45&lt;AL$23,0,AL$21+VLOOKUP($A45-AL$23,SCdata,2,1)*(AL$22-AL$21))*IF($D$5="Non-Central",INDEX(fuel_avail,$A45-$A$24+1,MATCH(R$21,Fuels,0)),1)</f>
        <v>0.13447071068499755</v>
      </c>
      <c r="AM45" s="445" cm="1">
        <f t="array" ref="AM45">IF($A45&lt;AM$23,0,AM$21+VLOOKUP($A45-AM$23,SCdata,2,1)*(AM$22-AM$21))*IF($D$5="Non-Central",INDEX(fuel_avail,$A45-$A$24+1,MATCH(S$21,Fuels,0)),1)</f>
        <v>0.13447071068499755</v>
      </c>
      <c r="AN45" s="171">
        <f t="shared" si="52"/>
        <v>0.99975331692456793</v>
      </c>
      <c r="AO45" s="172">
        <f t="shared" si="52"/>
        <v>0.98821243838474493</v>
      </c>
      <c r="AP45" s="172">
        <f t="shared" si="52"/>
        <v>1.0306201777554591E-5</v>
      </c>
      <c r="AQ45" s="172">
        <f t="shared" si="52"/>
        <v>0.18985387264796483</v>
      </c>
      <c r="AR45" s="445">
        <f t="shared" si="52"/>
        <v>5.8594471603636289E-2</v>
      </c>
      <c r="AS45" s="168">
        <f t="shared" ca="1" si="41"/>
        <v>0.2689414213699951</v>
      </c>
      <c r="AT45" s="169">
        <f t="shared" ca="1" si="42"/>
        <v>0.2689414213699951</v>
      </c>
      <c r="AU45" s="169">
        <f t="shared" si="43"/>
        <v>0</v>
      </c>
      <c r="AV45" s="169">
        <f t="shared" ca="1" si="44"/>
        <v>0</v>
      </c>
      <c r="AW45" s="170">
        <f t="shared" ca="1" si="45"/>
        <v>7.1858970240292447E-2</v>
      </c>
      <c r="AX45" s="168">
        <f t="shared" ca="1" si="46"/>
        <v>0.26887507807306049</v>
      </c>
      <c r="AY45" s="169">
        <f t="shared" ca="1" si="46"/>
        <v>0.26577125779470201</v>
      </c>
      <c r="AZ45" s="169">
        <f t="shared" si="46"/>
        <v>0</v>
      </c>
      <c r="BA45" s="169">
        <f t="shared" ca="1" si="46"/>
        <v>0</v>
      </c>
      <c r="BB45" s="170">
        <f t="shared" ca="1" si="46"/>
        <v>4.2105383912113608E-3</v>
      </c>
      <c r="BC45" s="168">
        <f t="shared" ca="1" si="53"/>
        <v>0.73112492192693956</v>
      </c>
      <c r="BD45" s="169">
        <f t="shared" ca="1" si="47"/>
        <v>0.13416142775985088</v>
      </c>
      <c r="BE45" s="169">
        <f t="shared" ca="1" si="48"/>
        <v>0.1326127049736453</v>
      </c>
      <c r="BF45" s="169">
        <f t="shared" ca="1" si="49"/>
        <v>0</v>
      </c>
      <c r="BG45" s="169">
        <f t="shared" ca="1" si="50"/>
        <v>0</v>
      </c>
      <c r="BH45" s="170">
        <f t="shared" ca="1" si="51"/>
        <v>2.1009453395642924E-3</v>
      </c>
    </row>
    <row r="46" spans="1:62" x14ac:dyDescent="0.2">
      <c r="A46" s="189">
        <v>2029</v>
      </c>
      <c r="B46" s="667" cm="1">
        <f t="array" ref="B46">ROUND(INDEX(COST_Cls3,$A46-($A$24-1),MATCH(B$20,TECHOPTS_Cls3,0)),2)</f>
        <v>84366.52</v>
      </c>
      <c r="C46" s="668" cm="1">
        <f t="array" ref="C46">ROUND(INDEX(COST_Cls3,$A46-($A$24-1),MATCH(C$20,TECHOPTS_Cls3,0)),2)</f>
        <v>1061.6600000000001</v>
      </c>
      <c r="D46" s="668" cm="1">
        <f t="array" ref="D46">ROUND(INDEX(COST_Cls3,$A46-($A$24-1),MATCH(D$20,TECHOPTS_Cls3,0)),2)</f>
        <v>5505.1</v>
      </c>
      <c r="E46" s="668" cm="1">
        <f t="array" ref="E46">ROUND(INDEX(COST_Cls3,$A46-($A$24-1),MATCH(E$20,TECHOPTS_Cls3,0)),2)</f>
        <v>161596.76</v>
      </c>
      <c r="F46" s="668" cm="1">
        <f t="array" ref="F46">ROUND(INDEX(COST_Cls3,$A46-($A$24-1),MATCH(F$20,TECHOPTS_Cls3,0)),2)</f>
        <v>63408.92</v>
      </c>
      <c r="G46" s="669" cm="1">
        <f t="array" ref="G46">ROUND(INDEX(COST_Cls3,$A46-($A$24-1),MATCH(G$20,TECHOPTS_Cls3,0)),2)</f>
        <v>80701.03</v>
      </c>
      <c r="H46" s="628" cm="1">
        <f t="array" ref="H46">IF(H$21="Single-fuel",1,1-MIN(INDEX(CDRANGE_CLS3,$A46-($A$24-1),MATCH(H$20,TECHOPTS_Cls3,0))*OPDAYS_Cls3/$D$6,1))</f>
        <v>1</v>
      </c>
      <c r="I46" s="629" cm="1">
        <f t="array" ref="I46">IF(I$21="Single-fuel",1,1-MIN(INDEX(CDRANGE_CLS3,$A46-($A$24-1),MATCH(I$20,TECHOPTS_Cls3,0))*OPDAYS_Cls3/$D$6,1))</f>
        <v>1</v>
      </c>
      <c r="J46" s="629" cm="1">
        <f t="array" ref="J46">IF(J$21="Single-fuel",1,1-MIN(INDEX(CDRANGE_CLS3,$A46-($A$24-1),MATCH(J$20,TECHOPTS_Cls3,0))*OPDAYS_Cls3/$D$6,1))</f>
        <v>1</v>
      </c>
      <c r="K46" s="629" cm="1">
        <f t="array" ref="K46">IF(K$21="Single-fuel",1,1-MIN(INDEX(CDRANGE_CLS3,$A46-($A$24-1),MATCH(K$20,TECHOPTS_Cls3,0))*OPDAYS_Cls3/$D$6,1))</f>
        <v>1</v>
      </c>
      <c r="L46" s="629" cm="1">
        <f t="array" ref="L46">IF(L$21="Single-fuel",1,1-MIN(INDEX(CDRANGE_CLS3,$A46-($A$24-1),MATCH(L$20,TECHOPTS_Cls3,0))*OPDAYS_Cls3/$D$6,1))</f>
        <v>1</v>
      </c>
      <c r="M46" s="630" cm="1">
        <f t="array" ref="M46">IF(M$21="Single-fuel",1,1-MIN(INDEX(CDRANGE_CLS3,$A46-($A$24-1),MATCH(M$20,TECHOPTS_Cls3,0))*OPDAYS_Cls3/$D$6,1))</f>
        <v>0.86315899767656701</v>
      </c>
      <c r="N46" s="580"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148"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8064.4288806103841</v>
      </c>
      <c r="P46" s="148"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6295.0949744894297</v>
      </c>
      <c r="Q46" s="148"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7587.9985526462569</v>
      </c>
      <c r="R46" s="148"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7499.7680702379466</v>
      </c>
      <c r="S46" s="150"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5387.202451503118</v>
      </c>
      <c r="T46" s="581">
        <f t="shared" si="30"/>
        <v>73.826794324982984</v>
      </c>
      <c r="U46" s="162">
        <f t="shared" si="31"/>
        <v>1843.1607004459374</v>
      </c>
      <c r="V46" s="162">
        <f t="shared" si="32"/>
        <v>550.25712228911016</v>
      </c>
      <c r="W46" s="162">
        <f t="shared" si="33"/>
        <v>638.48760469742047</v>
      </c>
      <c r="X46" s="163">
        <f t="shared" si="34"/>
        <v>2751.0532234322491</v>
      </c>
      <c r="Y46" s="151" cm="1">
        <f t="array" aca="1" ref="Y46" ca="1">IF(AND(Y$22=TRUE,INDEX(CDRANGE_CLS3,MATCH($A46,$A$24:$A$67,0),MATCH(Y$20,$B$20:$G$20,0))&lt;$D$6/OPDAYS_Cls3),86,payback(C46,T46,disc_rate/12,85))</f>
        <v>16</v>
      </c>
      <c r="Z46" s="152" cm="1">
        <f t="array" aca="1" ref="Z46" ca="1">IF(AND(Z$22=TRUE,INDEX(CDRANGE_CLS3,MATCH($A46,$A$24:$A$67,0),MATCH(Z$20,$B$20:$G$20,0))&lt;$D$6/OPDAYS_Cls3),86,payback(D46,U46,disc_rate/12,85))</f>
        <v>4</v>
      </c>
      <c r="AA46" s="152" cm="1">
        <f t="array" ref="AA46">IF(AND(AA$22=TRUE,INDEX(CDRANGE_CLS3,MATCH($A46,$A$24:$A$67,0),MATCH(AA$20,$B$20:$G$20,0))&lt;$D$6/OPDAYS_Cls3),86,payback(E46,V46,disc_rate/12,85))</f>
        <v>86</v>
      </c>
      <c r="AB46" s="152" cm="1">
        <f t="array" aca="1" ref="AB46" ca="1">IF(AND(AB$22=TRUE,INDEX(CDRANGE_CLS3,MATCH($A46,$A$24:$A$67,0),MATCH(AB$20,$B$20:$G$20,0))&lt;$D$6/OPDAYS_Cls3),86,payback(F46,W46,disc_rate/12,85))</f>
        <v>86</v>
      </c>
      <c r="AC46" s="153" cm="1">
        <f t="array" aca="1" ref="AC46" ca="1">IF(AND(AC$22=TRUE,INDEX(CDRANGE_CLS3,MATCH($A46,$A$24:$A$67,0),MATCH(AC$20,$B$20:$G$20,0))&lt;$D$6/OPDAYS_Cls3),86,payback(G46,X46,disc_rate/12,85))</f>
        <v>33</v>
      </c>
      <c r="AD46" s="168">
        <f t="shared" si="35"/>
        <v>0</v>
      </c>
      <c r="AE46" s="169">
        <f t="shared" si="36"/>
        <v>0</v>
      </c>
      <c r="AF46" s="169">
        <f t="shared" si="37"/>
        <v>0</v>
      </c>
      <c r="AG46" s="169">
        <f t="shared" si="38"/>
        <v>0</v>
      </c>
      <c r="AH46" s="170">
        <f t="shared" si="39"/>
        <v>0</v>
      </c>
      <c r="AI46" s="442" cm="1">
        <f t="array" ref="AI46">IF($A46&lt;AI$23,0,AI$21+VLOOKUP($A46-AI$23,SCdata,2,1)*(AI$22-AI$21))*IF($D$5="Non-Central",INDEX(fuel_avail,$A46-$A$24+1,MATCH(O$21,Fuels,0)),1)</f>
        <v>0.25</v>
      </c>
      <c r="AJ46" s="172" cm="1">
        <f t="array" ref="AJ46">IF($A46&lt;AJ$23,0,AJ$21+VLOOKUP($A46-AJ$23,SCdata,2,1)*(AJ$22-AJ$21))*IF($D$5="Non-Central",INDEX(fuel_avail,$A46-$A$24+1,MATCH(P$21,Fuels,0)),1)</f>
        <v>0.25</v>
      </c>
      <c r="AK46" s="172" cm="1">
        <f t="array" ref="AK46">IF($A46&lt;AK$23,0,AK$21+VLOOKUP($A46-AK$23,SCdata,2,1)*(AK$22-AK$21))*IF($D$5="Non-Central",INDEX(fuel_avail,$A46-$A$24+1,MATCH(Q$21,Fuels,0)),1)</f>
        <v>0.25</v>
      </c>
      <c r="AL46" s="172" cm="1">
        <f t="array" ref="AL46">IF($A46&lt;AL$23,0,AL$21+VLOOKUP($A46-AL$23,SCdata,2,1)*(AL$22-AL$21))*IF($D$5="Non-Central",INDEX(fuel_avail,$A46-$A$24+1,MATCH(R$21,Fuels,0)),1)</f>
        <v>0.25</v>
      </c>
      <c r="AM46" s="445" cm="1">
        <f t="array" ref="AM46">IF($A46&lt;AM$23,0,AM$21+VLOOKUP($A46-AM$23,SCdata,2,1)*(AM$22-AM$21))*IF($D$5="Non-Central",INDEX(fuel_avail,$A46-$A$24+1,MATCH(S$21,Fuels,0)),1)</f>
        <v>0.25</v>
      </c>
      <c r="AN46" s="171">
        <f t="shared" si="52"/>
        <v>0.99956022288684165</v>
      </c>
      <c r="AO46" s="172">
        <f t="shared" si="52"/>
        <v>0.98824231267520679</v>
      </c>
      <c r="AP46" s="172">
        <f t="shared" si="52"/>
        <v>3.7501323424948829E-5</v>
      </c>
      <c r="AQ46" s="172">
        <f t="shared" si="52"/>
        <v>0.20822700141694206</v>
      </c>
      <c r="AR46" s="445">
        <f t="shared" si="52"/>
        <v>7.8736544177253509E-2</v>
      </c>
      <c r="AS46" s="168">
        <f t="shared" ca="1" si="41"/>
        <v>0.40657773063838365</v>
      </c>
      <c r="AT46" s="169">
        <f t="shared" ca="1" si="42"/>
        <v>0.5</v>
      </c>
      <c r="AU46" s="169">
        <f t="shared" si="43"/>
        <v>0</v>
      </c>
      <c r="AV46" s="169">
        <f t="shared" ca="1" si="44"/>
        <v>0</v>
      </c>
      <c r="AW46" s="170">
        <f t="shared" ca="1" si="45"/>
        <v>0.14524885520623254</v>
      </c>
      <c r="AX46" s="168">
        <f t="shared" ca="1" si="46"/>
        <v>0.40639892705772901</v>
      </c>
      <c r="AY46" s="169">
        <f t="shared" ca="1" si="46"/>
        <v>0.4941211563376034</v>
      </c>
      <c r="AZ46" s="169">
        <f t="shared" si="46"/>
        <v>0</v>
      </c>
      <c r="BA46" s="169">
        <f t="shared" ca="1" si="46"/>
        <v>0</v>
      </c>
      <c r="BB46" s="170">
        <f t="shared" ca="1" si="46"/>
        <v>1.1436392904641027E-2</v>
      </c>
      <c r="BC46" s="168">
        <f t="shared" ca="1" si="53"/>
        <v>0.50587884366239666</v>
      </c>
      <c r="BD46" s="169">
        <f t="shared" ca="1" si="47"/>
        <v>0.22019724952978248</v>
      </c>
      <c r="BE46" s="169">
        <f t="shared" ca="1" si="48"/>
        <v>0.2677273789764712</v>
      </c>
      <c r="BF46" s="169">
        <f t="shared" ca="1" si="49"/>
        <v>0</v>
      </c>
      <c r="BG46" s="169">
        <f t="shared" ca="1" si="50"/>
        <v>0</v>
      </c>
      <c r="BH46" s="170">
        <f t="shared" ca="1" si="51"/>
        <v>6.1965278313496986E-3</v>
      </c>
    </row>
    <row r="47" spans="1:62" ht="13.5" thickBot="1" x14ac:dyDescent="0.25">
      <c r="A47" s="465">
        <v>2030</v>
      </c>
      <c r="B47" s="661" cm="1">
        <f t="array" ref="B47">ROUND(INDEX(COST_Cls3,$A47-($A$24-1),MATCH(B$20,TECHOPTS_Cls3,0)),2)</f>
        <v>84892.63</v>
      </c>
      <c r="C47" s="662" cm="1">
        <f t="array" ref="C47">ROUND(INDEX(COST_Cls3,$A47-($A$24-1),MATCH(C$20,TECHOPTS_Cls3,0)),2)</f>
        <v>1411.74</v>
      </c>
      <c r="D47" s="662" cm="1">
        <f t="array" ref="D47">ROUND(INDEX(COST_Cls3,$A47-($A$24-1),MATCH(D$20,TECHOPTS_Cls3,0)),2)</f>
        <v>5544.97</v>
      </c>
      <c r="E47" s="662" cm="1">
        <f t="array" ref="E47">ROUND(INDEX(COST_Cls3,$A47-($A$24-1),MATCH(E$20,TECHOPTS_Cls3,0)),2)</f>
        <v>150334.22</v>
      </c>
      <c r="F47" s="662" cm="1">
        <f t="array" ref="F47">ROUND(INDEX(COST_Cls3,$A47-($A$24-1),MATCH(F$20,TECHOPTS_Cls3,0)),2)</f>
        <v>61620.5</v>
      </c>
      <c r="G47" s="663" cm="1">
        <f t="array" ref="G47">ROUND(INDEX(COST_Cls3,$A47-($A$24-1),MATCH(G$20,TECHOPTS_Cls3,0)),2)</f>
        <v>75587.360000000001</v>
      </c>
      <c r="H47" s="628" cm="1">
        <f t="array" ref="H47">IF(H$21="Single-fuel",1,1-MIN(INDEX(CDRANGE_CLS3,$A47-($A$24-1),MATCH(H$20,TECHOPTS_Cls3,0))*OPDAYS_Cls3/$D$6,1))</f>
        <v>1</v>
      </c>
      <c r="I47" s="629" cm="1">
        <f t="array" ref="I47">IF(I$21="Single-fuel",1,1-MIN(INDEX(CDRANGE_CLS3,$A47-($A$24-1),MATCH(I$20,TECHOPTS_Cls3,0))*OPDAYS_Cls3/$D$6,1))</f>
        <v>1</v>
      </c>
      <c r="J47" s="629" cm="1">
        <f t="array" ref="J47">IF(J$21="Single-fuel",1,1-MIN(INDEX(CDRANGE_CLS3,$A47-($A$24-1),MATCH(J$20,TECHOPTS_Cls3,0))*OPDAYS_Cls3/$D$6,1))</f>
        <v>1</v>
      </c>
      <c r="K47" s="629" cm="1">
        <f t="array" ref="K47">IF(K$21="Single-fuel",1,1-MIN(INDEX(CDRANGE_CLS3,$A47-($A$24-1),MATCH(K$20,TECHOPTS_Cls3,0))*OPDAYS_Cls3/$D$6,1))</f>
        <v>1</v>
      </c>
      <c r="L47" s="629" cm="1">
        <f t="array" ref="L47">IF(L$21="Single-fuel",1,1-MIN(INDEX(CDRANGE_CLS3,$A47-($A$24-1),MATCH(L$20,TECHOPTS_Cls3,0))*OPDAYS_Cls3/$D$6,1))</f>
        <v>1</v>
      </c>
      <c r="M47" s="630" cm="1">
        <f t="array" ref="M47">IF(M$21="Single-fuel",1,1-MIN(INDEX(CDRANGE_CLS3,$A47-($A$24-1),MATCH(M$20,TECHOPTS_Cls3,0))*OPDAYS_Cls3/$D$6,1))</f>
        <v>0.86311374933432294</v>
      </c>
      <c r="N47" s="729"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623"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8071.5843143796747</v>
      </c>
      <c r="P47" s="623"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6303.5231454910427</v>
      </c>
      <c r="Q47" s="623"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7461.7912451940765</v>
      </c>
      <c r="R47" s="623"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7269.9987306470939</v>
      </c>
      <c r="S47" s="624"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5387.7752842076006</v>
      </c>
      <c r="T47" s="582">
        <f t="shared" si="30"/>
        <v>62.125500680572259</v>
      </c>
      <c r="U47" s="466">
        <f t="shared" si="31"/>
        <v>1830.1866695692042</v>
      </c>
      <c r="V47" s="466">
        <f t="shared" si="32"/>
        <v>671.9185698661704</v>
      </c>
      <c r="W47" s="466">
        <f t="shared" si="33"/>
        <v>863.711084413153</v>
      </c>
      <c r="X47" s="467">
        <f t="shared" si="34"/>
        <v>2745.9345308526463</v>
      </c>
      <c r="Y47" s="570" cm="1">
        <f t="array" aca="1" ref="Y47" ca="1">IF(AND(Y$22=TRUE,INDEX(CDRANGE_CLS3,MATCH($A47,$A$24:$A$67,0),MATCH(Y$20,$B$20:$G$20,0))&lt;$D$6/OPDAYS_Cls3),86,payback(C47,T47,disc_rate/12,85))</f>
        <v>25</v>
      </c>
      <c r="Z47" s="571" cm="1">
        <f t="array" aca="1" ref="Z47" ca="1">IF(AND(Z$22=TRUE,INDEX(CDRANGE_CLS3,MATCH($A47,$A$24:$A$67,0),MATCH(Z$20,$B$20:$G$20,0))&lt;$D$6/OPDAYS_Cls3),86,payback(D47,U47,disc_rate/12,85))</f>
        <v>4</v>
      </c>
      <c r="AA47" s="571" cm="1">
        <f t="array" ref="AA47">IF(AND(AA$22=TRUE,INDEX(CDRANGE_CLS3,MATCH($A47,$A$24:$A$67,0),MATCH(AA$20,$B$20:$G$20,0))&lt;$D$6/OPDAYS_Cls3),86,payback(E47,V47,disc_rate/12,85))</f>
        <v>86</v>
      </c>
      <c r="AB47" s="571" cm="1">
        <f t="array" aca="1" ref="AB47" ca="1">IF(AND(AB$22=TRUE,INDEX(CDRANGE_CLS3,MATCH($A47,$A$24:$A$67,0),MATCH(AB$20,$B$20:$G$20,0))&lt;$D$6/OPDAYS_Cls3),86,payback(F47,W47,disc_rate/12,85))</f>
        <v>86</v>
      </c>
      <c r="AC47" s="738" cm="1">
        <f t="array" aca="1" ref="AC47" ca="1">IF(AND(AC$22=TRUE,INDEX(CDRANGE_CLS3,MATCH($A47,$A$24:$A$67,0),MATCH(AC$20,$B$20:$G$20,0))&lt;$D$6/OPDAYS_Cls3),86,payback(G47,X47,disc_rate/12,85))</f>
        <v>31</v>
      </c>
      <c r="AD47" s="471">
        <f t="shared" si="35"/>
        <v>0</v>
      </c>
      <c r="AE47" s="472">
        <f t="shared" si="36"/>
        <v>0</v>
      </c>
      <c r="AF47" s="472">
        <f t="shared" si="37"/>
        <v>0</v>
      </c>
      <c r="AG47" s="472">
        <f t="shared" si="38"/>
        <v>0</v>
      </c>
      <c r="AH47" s="473">
        <f t="shared" si="39"/>
        <v>0</v>
      </c>
      <c r="AI47" s="474" cm="1">
        <f t="array" ref="AI47">IF($A47&lt;AI$23,0,AI$21+VLOOKUP($A47-AI$23,SCdata,2,1)*(AI$22-AI$21))*IF($D$5="Non-Central",INDEX(fuel_avail,$A47-$A$24+1,MATCH(O$21,Fuels,0)),1)</f>
        <v>0.36552928931500245</v>
      </c>
      <c r="AJ47" s="475" cm="1">
        <f t="array" ref="AJ47">IF($A47&lt;AJ$23,0,AJ$21+VLOOKUP($A47-AJ$23,SCdata,2,1)*(AJ$22-AJ$21))*IF($D$5="Non-Central",INDEX(fuel_avail,$A47-$A$24+1,MATCH(P$21,Fuels,0)),1)</f>
        <v>0.36552928931500245</v>
      </c>
      <c r="AK47" s="475" cm="1">
        <f t="array" ref="AK47">IF($A47&lt;AK$23,0,AK$21+VLOOKUP($A47-AK$23,SCdata,2,1)*(AK$22-AK$21))*IF($D$5="Non-Central",INDEX(fuel_avail,$A47-$A$24+1,MATCH(Q$21,Fuels,0)),1)</f>
        <v>0.36552928931500245</v>
      </c>
      <c r="AL47" s="475" cm="1">
        <f t="array" ref="AL47">IF($A47&lt;AL$23,0,AL$21+VLOOKUP($A47-AL$23,SCdata,2,1)*(AL$22-AL$21))*IF($D$5="Non-Central",INDEX(fuel_avail,$A47-$A$24+1,MATCH(R$21,Fuels,0)),1)</f>
        <v>0.36552928931500245</v>
      </c>
      <c r="AM47" s="476" cm="1">
        <f t="array" ref="AM47">IF($A47&lt;AM$23,0,AM$21+VLOOKUP($A47-AM$23,SCdata,2,1)*(AM$22-AM$21))*IF($D$5="Non-Central",INDEX(fuel_avail,$A47-$A$24+1,MATCH(S$21,Fuels,0)),1)</f>
        <v>0.36552928931500245</v>
      </c>
      <c r="AN47" s="477">
        <f t="shared" si="52"/>
        <v>0.99923210796351403</v>
      </c>
      <c r="AO47" s="475">
        <f t="shared" si="52"/>
        <v>0.98821892154422475</v>
      </c>
      <c r="AP47" s="475">
        <f t="shared" si="52"/>
        <v>1.6474620468887036E-4</v>
      </c>
      <c r="AQ47" s="475">
        <f t="shared" si="52"/>
        <v>0.23141299008381355</v>
      </c>
      <c r="AR47" s="476">
        <f t="shared" si="52"/>
        <v>0.11056015346049264</v>
      </c>
      <c r="AS47" s="471">
        <f t="shared" ca="1" si="41"/>
        <v>0.37909227080442004</v>
      </c>
      <c r="AT47" s="472">
        <f t="shared" ca="1" si="42"/>
        <v>0.7310585786300049</v>
      </c>
      <c r="AU47" s="472">
        <f t="shared" si="43"/>
        <v>0</v>
      </c>
      <c r="AV47" s="472">
        <f t="shared" ca="1" si="44"/>
        <v>0</v>
      </c>
      <c r="AW47" s="473">
        <f t="shared" ca="1" si="45"/>
        <v>0.24919781555938694</v>
      </c>
      <c r="AX47" s="471">
        <f t="shared" ca="1" si="46"/>
        <v>0.37880116886857595</v>
      </c>
      <c r="AY47" s="472">
        <f t="shared" ca="1" si="46"/>
        <v>0.72244592015939724</v>
      </c>
      <c r="AZ47" s="472">
        <f t="shared" si="46"/>
        <v>0</v>
      </c>
      <c r="BA47" s="472">
        <f t="shared" ca="1" si="46"/>
        <v>0</v>
      </c>
      <c r="BB47" s="473">
        <f t="shared" ca="1" si="46"/>
        <v>2.7551348730265362E-2</v>
      </c>
      <c r="BC47" s="471">
        <f t="shared" ca="1" si="53"/>
        <v>0.27755407984060276</v>
      </c>
      <c r="BD47" s="472">
        <f t="shared" ca="1" si="47"/>
        <v>0.24243775491415562</v>
      </c>
      <c r="BE47" s="472">
        <f t="shared" ca="1" si="48"/>
        <v>0.4623749378954603</v>
      </c>
      <c r="BF47" s="472">
        <f t="shared" ca="1" si="49"/>
        <v>0</v>
      </c>
      <c r="BG47" s="472">
        <f t="shared" ca="1" si="50"/>
        <v>0</v>
      </c>
      <c r="BH47" s="473">
        <f t="shared" ca="1" si="51"/>
        <v>1.763322734978132E-2</v>
      </c>
    </row>
    <row r="48" spans="1:62" x14ac:dyDescent="0.2">
      <c r="A48" s="190">
        <v>2031</v>
      </c>
      <c r="B48" s="664" cm="1">
        <f t="array" ref="B48">ROUND(INDEX(COST_Cls3,$A48-($A$24-1),MATCH(B$20,TECHOPTS_Cls3,0)),2)</f>
        <v>85375.14</v>
      </c>
      <c r="C48" s="665" cm="1">
        <f t="array" ref="C48">ROUND(INDEX(COST_Cls3,$A48-($A$24-1),MATCH(C$20,TECHOPTS_Cls3,0)),2)</f>
        <v>1798.63</v>
      </c>
      <c r="D48" s="665" cm="1">
        <f t="array" ref="D48">ROUND(INDEX(COST_Cls3,$A48-($A$24-1),MATCH(D$20,TECHOPTS_Cls3,0)),2)</f>
        <v>5589.03</v>
      </c>
      <c r="E48" s="665" cm="1">
        <f t="array" ref="E48">ROUND(INDEX(COST_Cls3,$A48-($A$24-1),MATCH(E$20,TECHOPTS_Cls3,0)),2)</f>
        <v>137887.66</v>
      </c>
      <c r="F48" s="665" cm="1">
        <f t="array" ref="F48">ROUND(INDEX(COST_Cls3,$A48-($A$24-1),MATCH(F$20,TECHOPTS_Cls3,0)),2)</f>
        <v>59644.06</v>
      </c>
      <c r="G48" s="666" cm="1">
        <f t="array" ref="G48">ROUND(INDEX(COST_Cls3,$A48-($A$24-1),MATCH(G$20,TECHOPTS_Cls3,0)),2)</f>
        <v>69936.09</v>
      </c>
      <c r="H48" s="628" cm="1">
        <f t="array" ref="H48">IF(H$21="Single-fuel",1,1-MIN(INDEX(CDRANGE_CLS3,$A48-($A$24-1),MATCH(H$20,TECHOPTS_Cls3,0))*OPDAYS_Cls3/$D$6,1))</f>
        <v>1</v>
      </c>
      <c r="I48" s="629" cm="1">
        <f t="array" ref="I48">IF(I$21="Single-fuel",1,1-MIN(INDEX(CDRANGE_CLS3,$A48-($A$24-1),MATCH(I$20,TECHOPTS_Cls3,0))*OPDAYS_Cls3/$D$6,1))</f>
        <v>1</v>
      </c>
      <c r="J48" s="629" cm="1">
        <f t="array" ref="J48">IF(J$21="Single-fuel",1,1-MIN(INDEX(CDRANGE_CLS3,$A48-($A$24-1),MATCH(J$20,TECHOPTS_Cls3,0))*OPDAYS_Cls3/$D$6,1))</f>
        <v>1</v>
      </c>
      <c r="K48" s="629" cm="1">
        <f t="array" ref="K48">IF(K$21="Single-fuel",1,1-MIN(INDEX(CDRANGE_CLS3,$A48-($A$24-1),MATCH(K$20,TECHOPTS_Cls3,0))*OPDAYS_Cls3/$D$6,1))</f>
        <v>1</v>
      </c>
      <c r="L48" s="629" cm="1">
        <f t="array" ref="L48">IF(L$21="Single-fuel",1,1-MIN(INDEX(CDRANGE_CLS3,$A48-($A$24-1),MATCH(L$20,TECHOPTS_Cls3,0))*OPDAYS_Cls3/$D$6,1))</f>
        <v>1</v>
      </c>
      <c r="M48" s="630" cm="1">
        <f t="array" ref="M48">IF(M$21="Single-fuel",1,1-MIN(INDEX(CDRANGE_CLS3,$A48-($A$24-1),MATCH(M$20,TECHOPTS_Cls3,0))*OPDAYS_Cls3/$D$6,1))</f>
        <v>0.86306374410567477</v>
      </c>
      <c r="N48" s="583"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479"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7989.3654948354333</v>
      </c>
      <c r="P48" s="479"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6242.3010907510479</v>
      </c>
      <c r="Q48" s="479"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7348.012670801445</v>
      </c>
      <c r="R48" s="479"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7036.780378960193</v>
      </c>
      <c r="S48" s="592"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5341.0377395715414</v>
      </c>
      <c r="T48" s="583">
        <f t="shared" si="30"/>
        <v>80.278979291914766</v>
      </c>
      <c r="U48" s="479">
        <f t="shared" si="31"/>
        <v>1827.3433833763002</v>
      </c>
      <c r="V48" s="479">
        <f t="shared" si="32"/>
        <v>721.63180332590309</v>
      </c>
      <c r="W48" s="479">
        <f t="shared" si="33"/>
        <v>1032.864095167155</v>
      </c>
      <c r="X48" s="480">
        <f t="shared" si="34"/>
        <v>2728.6067345558067</v>
      </c>
      <c r="Y48" s="481" cm="1">
        <f t="array" aca="1" ref="Y48" ca="1">IF(AND(Y$22=TRUE,INDEX(CDRANGE_CLS3,MATCH($A48,$A$24:$A$67,0),MATCH(Y$20,$B$20:$G$20,0))&lt;$D$6/OPDAYS_Cls3),86,payback(C48,T48,disc_rate/12,85))</f>
        <v>25</v>
      </c>
      <c r="Z48" s="482" cm="1">
        <f t="array" aca="1" ref="Z48" ca="1">IF(AND(Z$22=TRUE,INDEX(CDRANGE_CLS3,MATCH($A48,$A$24:$A$67,0),MATCH(Z$20,$B$20:$G$20,0))&lt;$D$6/OPDAYS_Cls3),86,payback(D48,U48,disc_rate/12,85))</f>
        <v>4</v>
      </c>
      <c r="AA48" s="482" cm="1">
        <f t="array" ref="AA48">IF(AND(AA$22=TRUE,INDEX(CDRANGE_CLS3,MATCH($A48,$A$24:$A$67,0),MATCH(AA$20,$B$20:$G$20,0))&lt;$D$6/OPDAYS_Cls3),86,payback(E48,V48,disc_rate/12,85))</f>
        <v>86</v>
      </c>
      <c r="AB48" s="482" cm="1">
        <f t="array" aca="1" ref="AB48" ca="1">IF(AND(AB$22=TRUE,INDEX(CDRANGE_CLS3,MATCH($A48,$A$24:$A$67,0),MATCH(AB$20,$B$20:$G$20,0))&lt;$D$6/OPDAYS_Cls3),86,payback(F48,W48,disc_rate/12,85))</f>
        <v>72</v>
      </c>
      <c r="AC48" s="739" cm="1">
        <f t="array" aca="1" ref="AC48" ca="1">IF(AND(AC$22=TRUE,INDEX(CDRANGE_CLS3,MATCH($A48,$A$24:$A$67,0),MATCH(AC$20,$B$20:$G$20,0))&lt;$D$6/OPDAYS_Cls3),86,payback(G48,X48,disc_rate/12,85))</f>
        <v>29</v>
      </c>
      <c r="AD48" s="484">
        <f t="shared" si="35"/>
        <v>0</v>
      </c>
      <c r="AE48" s="485">
        <f t="shared" si="36"/>
        <v>0</v>
      </c>
      <c r="AF48" s="485">
        <f t="shared" si="37"/>
        <v>0</v>
      </c>
      <c r="AG48" s="485">
        <f t="shared" si="38"/>
        <v>0</v>
      </c>
      <c r="AH48" s="486">
        <f t="shared" si="39"/>
        <v>0</v>
      </c>
      <c r="AI48" s="487" cm="1">
        <f t="array" ref="AI48">IF($A48&lt;AI$23,0,AI$21+VLOOKUP($A48-AI$23,SCdata,2,1)*(AI$22-AI$21))*IF($D$5="Non-Central",INDEX(fuel_avail,$A48-$A$24+1,MATCH(O$21,Fuels,0)),1)</f>
        <v>0.44039853898894116</v>
      </c>
      <c r="AJ48" s="488" cm="1">
        <f t="array" ref="AJ48">IF($A48&lt;AJ$23,0,AJ$21+VLOOKUP($A48-AJ$23,SCdata,2,1)*(AJ$22-AJ$21))*IF($D$5="Non-Central",INDEX(fuel_avail,$A48-$A$24+1,MATCH(P$21,Fuels,0)),1)</f>
        <v>0.44039853898894116</v>
      </c>
      <c r="AK48" s="488" cm="1">
        <f t="array" ref="AK48">IF($A48&lt;AK$23,0,AK$21+VLOOKUP($A48-AK$23,SCdata,2,1)*(AK$22-AK$21))*IF($D$5="Non-Central",INDEX(fuel_avail,$A48-$A$24+1,MATCH(Q$21,Fuels,0)),1)</f>
        <v>0.44039853898894116</v>
      </c>
      <c r="AL48" s="488" cm="1">
        <f t="array" ref="AL48">IF($A48&lt;AL$23,0,AL$21+VLOOKUP($A48-AL$23,SCdata,2,1)*(AL$22-AL$21))*IF($D$5="Non-Central",INDEX(fuel_avail,$A48-$A$24+1,MATCH(R$21,Fuels,0)),1)</f>
        <v>0.44039853898894116</v>
      </c>
      <c r="AM48" s="489" cm="1">
        <f t="array" ref="AM48">IF($A48&lt;AM$23,0,AM$21+VLOOKUP($A48-AM$23,SCdata,2,1)*(AM$22-AM$21))*IF($D$5="Non-Central",INDEX(fuel_avail,$A48-$A$24+1,MATCH(S$21,Fuels,0)),1)</f>
        <v>0.44039853898894116</v>
      </c>
      <c r="AN48" s="490">
        <f t="shared" si="52"/>
        <v>0.99876788677294548</v>
      </c>
      <c r="AO48" s="488">
        <f t="shared" si="52"/>
        <v>0.98816617671151108</v>
      </c>
      <c r="AP48" s="488">
        <f t="shared" si="52"/>
        <v>7.1317407614879258E-4</v>
      </c>
      <c r="AQ48" s="488">
        <f t="shared" si="52"/>
        <v>0.25776241538623568</v>
      </c>
      <c r="AR48" s="489">
        <f t="shared" si="52"/>
        <v>0.15505688708703236</v>
      </c>
      <c r="AS48" s="484">
        <f t="shared" ca="1" si="41"/>
        <v>0.45673954751240892</v>
      </c>
      <c r="AT48" s="485">
        <f t="shared" ca="1" si="42"/>
        <v>0.88079707797788231</v>
      </c>
      <c r="AU48" s="485">
        <f t="shared" si="43"/>
        <v>0</v>
      </c>
      <c r="AV48" s="485">
        <f t="shared" ca="1" si="44"/>
        <v>1.8285532037090738E-3</v>
      </c>
      <c r="AW48" s="486">
        <f t="shared" ca="1" si="45"/>
        <v>0.34882618172414215</v>
      </c>
      <c r="AX48" s="484">
        <f t="shared" ca="1" si="46"/>
        <v>0.45617679267459998</v>
      </c>
      <c r="AY48" s="485">
        <f t="shared" ca="1" si="46"/>
        <v>0.87037388100407465</v>
      </c>
      <c r="AZ48" s="485">
        <f t="shared" si="46"/>
        <v>0</v>
      </c>
      <c r="BA48" s="485">
        <f t="shared" ca="1" si="46"/>
        <v>4.7133229045029032E-4</v>
      </c>
      <c r="BB48" s="486">
        <f t="shared" ca="1" si="46"/>
        <v>5.4087901872600937E-2</v>
      </c>
      <c r="BC48" s="484">
        <f t="shared" ca="1" si="53"/>
        <v>0.12962611899592547</v>
      </c>
      <c r="BD48" s="485">
        <f t="shared" ca="1" si="47"/>
        <v>0.28748209191015645</v>
      </c>
      <c r="BE48" s="485">
        <f t="shared" ca="1" si="48"/>
        <v>0.54850862225579644</v>
      </c>
      <c r="BF48" s="485">
        <f t="shared" ca="1" si="49"/>
        <v>0</v>
      </c>
      <c r="BG48" s="485">
        <f t="shared" ca="1" si="50"/>
        <v>2.970330692383763E-4</v>
      </c>
      <c r="BH48" s="486">
        <f t="shared" ca="1" si="51"/>
        <v>3.4086133768883357E-2</v>
      </c>
    </row>
    <row r="49" spans="1:60" x14ac:dyDescent="0.2">
      <c r="A49" s="189">
        <v>2032</v>
      </c>
      <c r="B49" s="667" cm="1">
        <f t="array" ref="B49">ROUND(INDEX(COST_Cls3,$A49-($A$24-1),MATCH(B$20,TECHOPTS_Cls3,0)),2)</f>
        <v>85427.11</v>
      </c>
      <c r="C49" s="668" cm="1">
        <f t="array" ref="C49">ROUND(INDEX(COST_Cls3,$A49-($A$24-1),MATCH(C$20,TECHOPTS_Cls3,0)),2)</f>
        <v>2160.44</v>
      </c>
      <c r="D49" s="668" cm="1">
        <f t="array" ref="D49">ROUND(INDEX(COST_Cls3,$A49-($A$24-1),MATCH(D$20,TECHOPTS_Cls3,0)),2)</f>
        <v>5630.23</v>
      </c>
      <c r="E49" s="668" cm="1">
        <f t="array" ref="E49">ROUND(INDEX(COST_Cls3,$A49-($A$24-1),MATCH(E$20,TECHOPTS_Cls3,0)),2)</f>
        <v>126247.61</v>
      </c>
      <c r="F49" s="668" cm="1">
        <f t="array" ref="F49">ROUND(INDEX(COST_Cls3,$A49-($A$24-1),MATCH(F$20,TECHOPTS_Cls3,0)),2)</f>
        <v>57795.68</v>
      </c>
      <c r="G49" s="669" cm="1">
        <f t="array" ref="G49">ROUND(INDEX(COST_Cls3,$A49-($A$24-1),MATCH(G$20,TECHOPTS_Cls3,0)),2)</f>
        <v>64651.01</v>
      </c>
      <c r="H49" s="628" cm="1">
        <f t="array" ref="H49">IF(H$21="Single-fuel",1,1-MIN(INDEX(CDRANGE_CLS3,$A49-($A$24-1),MATCH(H$20,TECHOPTS_Cls3,0))*OPDAYS_Cls3/$D$6,1))</f>
        <v>1</v>
      </c>
      <c r="I49" s="629" cm="1">
        <f t="array" ref="I49">IF(I$21="Single-fuel",1,1-MIN(INDEX(CDRANGE_CLS3,$A49-($A$24-1),MATCH(I$20,TECHOPTS_Cls3,0))*OPDAYS_Cls3/$D$6,1))</f>
        <v>1</v>
      </c>
      <c r="J49" s="629" cm="1">
        <f t="array" ref="J49">IF(J$21="Single-fuel",1,1-MIN(INDEX(CDRANGE_CLS3,$A49-($A$24-1),MATCH(J$20,TECHOPTS_Cls3,0))*OPDAYS_Cls3/$D$6,1))</f>
        <v>1</v>
      </c>
      <c r="K49" s="629" cm="1">
        <f t="array" ref="K49">IF(K$21="Single-fuel",1,1-MIN(INDEX(CDRANGE_CLS3,$A49-($A$24-1),MATCH(K$20,TECHOPTS_Cls3,0))*OPDAYS_Cls3/$D$6,1))</f>
        <v>1</v>
      </c>
      <c r="L49" s="629" cm="1">
        <f t="array" ref="L49">IF(L$21="Single-fuel",1,1-MIN(INDEX(CDRANGE_CLS3,$A49-($A$24-1),MATCH(L$20,TECHOPTS_Cls3,0))*OPDAYS_Cls3/$D$6,1))</f>
        <v>1</v>
      </c>
      <c r="M49" s="630" cm="1">
        <f t="array" ref="M49">IF(M$21="Single-fuel",1,1-MIN(INDEX(CDRANGE_CLS3,$A49-($A$24-1),MATCH(M$20,TECHOPTS_Cls3,0))*OPDAYS_Cls3/$D$6,1))</f>
        <v>0.86301697906898989</v>
      </c>
      <c r="N49" s="580"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148"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7891.1694876658958</v>
      </c>
      <c r="P49" s="148"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6168.2286500063428</v>
      </c>
      <c r="Q49" s="148"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7250.8242085325192</v>
      </c>
      <c r="R49" s="148"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6815.7322495016006</v>
      </c>
      <c r="S49" s="150"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5286.0561792094368</v>
      </c>
      <c r="T49" s="581">
        <f t="shared" si="30"/>
        <v>220.51639152475491</v>
      </c>
      <c r="U49" s="162">
        <f t="shared" si="31"/>
        <v>1943.4572291843078</v>
      </c>
      <c r="V49" s="162">
        <f t="shared" si="32"/>
        <v>860.86167065813152</v>
      </c>
      <c r="W49" s="162">
        <f t="shared" si="33"/>
        <v>1295.9536296890501</v>
      </c>
      <c r="X49" s="163">
        <f t="shared" si="34"/>
        <v>2825.6296999812139</v>
      </c>
      <c r="Y49" s="151" cm="1">
        <f t="array" aca="1" ref="Y49" ca="1">IF(AND(Y$22=TRUE,INDEX(CDRANGE_CLS3,MATCH($A49,$A$24:$A$67,0),MATCH(Y$20,$B$20:$G$20,0))&lt;$D$6/OPDAYS_Cls3),86,payback(C49,T49,disc_rate/12,85))</f>
        <v>11</v>
      </c>
      <c r="Z49" s="152" cm="1">
        <f t="array" aca="1" ref="Z49" ca="1">IF(AND(Z$22=TRUE,INDEX(CDRANGE_CLS3,MATCH($A49,$A$24:$A$67,0),MATCH(Z$20,$B$20:$G$20,0))&lt;$D$6/OPDAYS_Cls3),86,payback(D49,U49,disc_rate/12,85))</f>
        <v>3</v>
      </c>
      <c r="AA49" s="152" cm="1">
        <f t="array" ref="AA49">IF(AND(AA$22=TRUE,INDEX(CDRANGE_CLS3,MATCH($A49,$A$24:$A$67,0),MATCH(AA$20,$B$20:$G$20,0))&lt;$D$6/OPDAYS_Cls3),86,payback(E49,V49,disc_rate/12,85))</f>
        <v>86</v>
      </c>
      <c r="AB49" s="152" cm="1">
        <f t="array" aca="1" ref="AB49" ca="1">IF(AND(AB$22=TRUE,INDEX(CDRANGE_CLS3,MATCH($A49,$A$24:$A$67,0),MATCH(AB$20,$B$20:$G$20,0))&lt;$D$6/OPDAYS_Cls3),86,payback(F49,W49,disc_rate/12,85))</f>
        <v>53</v>
      </c>
      <c r="AC49" s="153" cm="1">
        <f t="array" aca="1" ref="AC49" ca="1">IF(AND(AC$22=TRUE,INDEX(CDRANGE_CLS3,MATCH($A49,$A$24:$A$67,0),MATCH(AC$20,$B$20:$G$20,0))&lt;$D$6/OPDAYS_Cls3),86,payback(G49,X49,disc_rate/12,85))</f>
        <v>25</v>
      </c>
      <c r="AD49" s="168">
        <f t="shared" si="35"/>
        <v>0</v>
      </c>
      <c r="AE49" s="169">
        <f t="shared" si="36"/>
        <v>0</v>
      </c>
      <c r="AF49" s="169">
        <f t="shared" si="37"/>
        <v>0</v>
      </c>
      <c r="AG49" s="169">
        <f t="shared" si="38"/>
        <v>0</v>
      </c>
      <c r="AH49" s="170">
        <f t="shared" si="39"/>
        <v>0</v>
      </c>
      <c r="AI49" s="442" cm="1">
        <f t="array" ref="AI49">IF($A49&lt;AI$23,0,AI$21+VLOOKUP($A49-AI$23,SCdata,2,1)*(AI$22-AI$21))*IF($D$5="Non-Central",INDEX(fuel_avail,$A49-$A$24+1,MATCH(O$21,Fuels,0)),1)</f>
        <v>0.47628706341121668</v>
      </c>
      <c r="AJ49" s="172" cm="1">
        <f t="array" ref="AJ49">IF($A49&lt;AJ$23,0,AJ$21+VLOOKUP($A49-AJ$23,SCdata,2,1)*(AJ$22-AJ$21))*IF($D$5="Non-Central",INDEX(fuel_avail,$A49-$A$24+1,MATCH(P$21,Fuels,0)),1)</f>
        <v>0.47628706341121668</v>
      </c>
      <c r="AK49" s="172" cm="1">
        <f t="array" ref="AK49">IF($A49&lt;AK$23,0,AK$21+VLOOKUP($A49-AK$23,SCdata,2,1)*(AK$22-AK$21))*IF($D$5="Non-Central",INDEX(fuel_avail,$A49-$A$24+1,MATCH(Q$21,Fuels,0)),1)</f>
        <v>0.47628706341121668</v>
      </c>
      <c r="AL49" s="172" cm="1">
        <f t="array" ref="AL49">IF($A49&lt;AL$23,0,AL$21+VLOOKUP($A49-AL$23,SCdata,2,1)*(AL$22-AL$21))*IF($D$5="Non-Central",INDEX(fuel_avail,$A49-$A$24+1,MATCH(R$21,Fuels,0)),1)</f>
        <v>0.47628706341121668</v>
      </c>
      <c r="AM49" s="445" cm="1">
        <f t="array" ref="AM49">IF($A49&lt;AM$23,0,AM$21+VLOOKUP($A49-AM$23,SCdata,2,1)*(AM$22-AM$21))*IF($D$5="Non-Central",INDEX(fuel_avail,$A49-$A$24+1,MATCH(S$21,Fuels,0)),1)</f>
        <v>0.47628706341121668</v>
      </c>
      <c r="AN49" s="171">
        <f t="shared" si="52"/>
        <v>0.99822497382342446</v>
      </c>
      <c r="AO49" s="172">
        <f t="shared" si="52"/>
        <v>0.98800663891197549</v>
      </c>
      <c r="AP49" s="172">
        <f t="shared" si="52"/>
        <v>2.3188165244573122E-3</v>
      </c>
      <c r="AQ49" s="172">
        <f t="shared" si="52"/>
        <v>0.2804267306972591</v>
      </c>
      <c r="AR49" s="445">
        <f t="shared" si="52"/>
        <v>0.20373184949205991</v>
      </c>
      <c r="AS49" s="168">
        <f t="shared" ca="1" si="41"/>
        <v>0.89764148802250165</v>
      </c>
      <c r="AT49" s="169">
        <f t="shared" ca="1" si="42"/>
        <v>0.95257412682243336</v>
      </c>
      <c r="AU49" s="169">
        <f t="shared" si="43"/>
        <v>0</v>
      </c>
      <c r="AV49" s="169">
        <f t="shared" ca="1" si="44"/>
        <v>3.3330021907429591E-2</v>
      </c>
      <c r="AW49" s="170">
        <f t="shared" ca="1" si="45"/>
        <v>0.49395971732303079</v>
      </c>
      <c r="AX49" s="168">
        <f t="shared" ca="1" si="46"/>
        <v>0.89604815088408152</v>
      </c>
      <c r="AY49" s="169">
        <f t="shared" ca="1" si="46"/>
        <v>0.94114956135634231</v>
      </c>
      <c r="AZ49" s="169">
        <f t="shared" si="46"/>
        <v>0</v>
      </c>
      <c r="BA49" s="169">
        <f t="shared" ca="1" si="46"/>
        <v>9.3466290775685041E-3</v>
      </c>
      <c r="BB49" s="170">
        <f t="shared" ca="1" si="46"/>
        <v>0.10063532678479617</v>
      </c>
      <c r="BC49" s="168">
        <f t="shared" ca="1" si="53"/>
        <v>5.885043864365791E-2</v>
      </c>
      <c r="BD49" s="169">
        <f t="shared" ca="1" si="47"/>
        <v>0.43309579386702879</v>
      </c>
      <c r="BE49" s="169">
        <f t="shared" ca="1" si="48"/>
        <v>0.45489510359579072</v>
      </c>
      <c r="BF49" s="169">
        <f t="shared" ca="1" si="49"/>
        <v>0</v>
      </c>
      <c r="BG49" s="169">
        <f t="shared" ca="1" si="50"/>
        <v>4.5175984530923504E-3</v>
      </c>
      <c r="BH49" s="170">
        <f t="shared" ca="1" si="51"/>
        <v>4.8641065440430294E-2</v>
      </c>
    </row>
    <row r="50" spans="1:60" x14ac:dyDescent="0.2">
      <c r="A50" s="189">
        <v>2033</v>
      </c>
      <c r="B50" s="667" cm="1">
        <f t="array" ref="B50">ROUND(INDEX(COST_Cls3,$A50-($A$24-1),MATCH(B$20,TECHOPTS_Cls3,0)),2)</f>
        <v>85479.2</v>
      </c>
      <c r="C50" s="668" cm="1">
        <f t="array" ref="C50">ROUND(INDEX(COST_Cls3,$A50-($A$24-1),MATCH(C$20,TECHOPTS_Cls3,0)),2)</f>
        <v>2449.67</v>
      </c>
      <c r="D50" s="668" cm="1">
        <f t="array" ref="D50">ROUND(INDEX(COST_Cls3,$A50-($A$24-1),MATCH(D$20,TECHOPTS_Cls3,0)),2)</f>
        <v>5663.16</v>
      </c>
      <c r="E50" s="668" cm="1">
        <f t="array" ref="E50">ROUND(INDEX(COST_Cls3,$A50-($A$24-1),MATCH(E$20,TECHOPTS_Cls3,0)),2)</f>
        <v>116942.9</v>
      </c>
      <c r="F50" s="668" cm="1">
        <f t="array" ref="F50">ROUND(INDEX(COST_Cls3,$A50-($A$24-1),MATCH(F$20,TECHOPTS_Cls3,0)),2)</f>
        <v>56318.15</v>
      </c>
      <c r="G50" s="669" cm="1">
        <f t="array" ref="G50">ROUND(INDEX(COST_Cls3,$A50-($A$24-1),MATCH(G$20,TECHOPTS_Cls3,0)),2)</f>
        <v>60426.28</v>
      </c>
      <c r="H50" s="628" cm="1">
        <f t="array" ref="H50">IF(H$21="Single-fuel",1,1-MIN(INDEX(CDRANGE_CLS3,$A50-($A$24-1),MATCH(H$20,TECHOPTS_Cls3,0))*OPDAYS_Cls3/$D$6,1))</f>
        <v>1</v>
      </c>
      <c r="I50" s="629" cm="1">
        <f t="array" ref="I50">IF(I$21="Single-fuel",1,1-MIN(INDEX(CDRANGE_CLS3,$A50-($A$24-1),MATCH(I$20,TECHOPTS_Cls3,0))*OPDAYS_Cls3/$D$6,1))</f>
        <v>1</v>
      </c>
      <c r="J50" s="629" cm="1">
        <f t="array" ref="J50">IF(J$21="Single-fuel",1,1-MIN(INDEX(CDRANGE_CLS3,$A50-($A$24-1),MATCH(J$20,TECHOPTS_Cls3,0))*OPDAYS_Cls3/$D$6,1))</f>
        <v>1</v>
      </c>
      <c r="K50" s="629" cm="1">
        <f t="array" ref="K50">IF(K$21="Single-fuel",1,1-MIN(INDEX(CDRANGE_CLS3,$A50-($A$24-1),MATCH(K$20,TECHOPTS_Cls3,0))*OPDAYS_Cls3/$D$6,1))</f>
        <v>1</v>
      </c>
      <c r="L50" s="629" cm="1">
        <f t="array" ref="L50">IF(L$21="Single-fuel",1,1-MIN(INDEX(CDRANGE_CLS3,$A50-($A$24-1),MATCH(L$20,TECHOPTS_Cls3,0))*OPDAYS_Cls3/$D$6,1))</f>
        <v>1</v>
      </c>
      <c r="M50" s="630" cm="1">
        <f t="array" ref="M50">IF(M$21="Single-fuel",1,1-MIN(INDEX(CDRANGE_CLS3,$A50-($A$24-1),MATCH(M$20,TECHOPTS_Cls3,0))*OPDAYS_Cls3/$D$6,1))</f>
        <v>0.86297959651724687</v>
      </c>
      <c r="N50" s="580"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148"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7895.6630172837913</v>
      </c>
      <c r="P50" s="148"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6173.7898202155939</v>
      </c>
      <c r="Q50" s="148"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7217.0476215969284</v>
      </c>
      <c r="R50" s="148"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6616.6080054988897</v>
      </c>
      <c r="S50" s="150"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5293.3332722331579</v>
      </c>
      <c r="T50" s="581">
        <f t="shared" si="30"/>
        <v>329.80789945905326</v>
      </c>
      <c r="U50" s="162">
        <f t="shared" si="31"/>
        <v>2051.6810965272507</v>
      </c>
      <c r="V50" s="162">
        <f t="shared" si="32"/>
        <v>1008.4232951459162</v>
      </c>
      <c r="W50" s="162">
        <f t="shared" si="33"/>
        <v>1608.8629112439548</v>
      </c>
      <c r="X50" s="163">
        <f t="shared" si="34"/>
        <v>2932.1376445096867</v>
      </c>
      <c r="Y50" s="151" cm="1">
        <f t="array" aca="1" ref="Y50" ca="1">IF(AND(Y$22=TRUE,INDEX(CDRANGE_CLS3,MATCH($A50,$A$24:$A$67,0),MATCH(Y$20,$B$20:$G$20,0))&lt;$D$6/OPDAYS_Cls3),86,payback(C50,T50,disc_rate/12,85))</f>
        <v>8</v>
      </c>
      <c r="Z50" s="152" cm="1">
        <f t="array" aca="1" ref="Z50" ca="1">IF(AND(Z$22=TRUE,INDEX(CDRANGE_CLS3,MATCH($A50,$A$24:$A$67,0),MATCH(Z$20,$B$20:$G$20,0))&lt;$D$6/OPDAYS_Cls3),86,payback(D50,U50,disc_rate/12,85))</f>
        <v>3</v>
      </c>
      <c r="AA50" s="152" cm="1">
        <f t="array" ref="AA50">IF(AND(AA$22=TRUE,INDEX(CDRANGE_CLS3,MATCH($A50,$A$24:$A$67,0),MATCH(AA$20,$B$20:$G$20,0))&lt;$D$6/OPDAYS_Cls3),86,payback(E50,V50,disc_rate/12,85))</f>
        <v>86</v>
      </c>
      <c r="AB50" s="152" cm="1">
        <f t="array" aca="1" ref="AB50" ca="1">IF(AND(AB$22=TRUE,INDEX(CDRANGE_CLS3,MATCH($A50,$A$24:$A$67,0),MATCH(AB$20,$B$20:$G$20,0))&lt;$D$6/OPDAYS_Cls3),86,payback(F50,W50,disc_rate/12,85))</f>
        <v>40</v>
      </c>
      <c r="AC50" s="153" cm="1">
        <f t="array" aca="1" ref="AC50" ca="1">IF(AND(AC$22=TRUE,INDEX(CDRANGE_CLS3,MATCH($A50,$A$24:$A$67,0),MATCH(AC$20,$B$20:$G$20,0))&lt;$D$6/OPDAYS_Cls3),86,payback(G50,X50,disc_rate/12,85))</f>
        <v>23</v>
      </c>
      <c r="AD50" s="168">
        <f t="shared" si="35"/>
        <v>0</v>
      </c>
      <c r="AE50" s="169">
        <f t="shared" si="36"/>
        <v>0</v>
      </c>
      <c r="AF50" s="169">
        <f t="shared" si="37"/>
        <v>0</v>
      </c>
      <c r="AG50" s="169">
        <f t="shared" si="38"/>
        <v>0</v>
      </c>
      <c r="AH50" s="170">
        <f t="shared" si="39"/>
        <v>0</v>
      </c>
      <c r="AI50" s="442" cm="1">
        <f t="array" ref="AI50">IF($A50&lt;AI$23,0,AI$21+VLOOKUP($A50-AI$23,SCdata,2,1)*(AI$22-AI$21))*IF($D$5="Non-Central",INDEX(fuel_avail,$A50-$A$24+1,MATCH(O$21,Fuels,0)),1)</f>
        <v>0.49100689501895423</v>
      </c>
      <c r="AJ50" s="172" cm="1">
        <f t="array" ref="AJ50">IF($A50&lt;AJ$23,0,AJ$21+VLOOKUP($A50-AJ$23,SCdata,2,1)*(AJ$22-AJ$21))*IF($D$5="Non-Central",INDEX(fuel_avail,$A50-$A$24+1,MATCH(P$21,Fuels,0)),1)</f>
        <v>0.49100689501895423</v>
      </c>
      <c r="AK50" s="172" cm="1">
        <f t="array" ref="AK50">IF($A50&lt;AK$23,0,AK$21+VLOOKUP($A50-AK$23,SCdata,2,1)*(AK$22-AK$21))*IF($D$5="Non-Central",INDEX(fuel_avail,$A50-$A$24+1,MATCH(Q$21,Fuels,0)),1)</f>
        <v>0.49100689501895423</v>
      </c>
      <c r="AL50" s="172" cm="1">
        <f t="array" ref="AL50">IF($A50&lt;AL$23,0,AL$21+VLOOKUP($A50-AL$23,SCdata,2,1)*(AL$22-AL$21))*IF($D$5="Non-Central",INDEX(fuel_avail,$A50-$A$24+1,MATCH(R$21,Fuels,0)),1)</f>
        <v>0.49100689501895423</v>
      </c>
      <c r="AM50" s="445" cm="1">
        <f t="array" ref="AM50">IF($A50&lt;AM$23,0,AM$21+VLOOKUP($A50-AM$23,SCdata,2,1)*(AM$22-AM$21))*IF($D$5="Non-Central",INDEX(fuel_avail,$A50-$A$24+1,MATCH(S$21,Fuels,0)),1)</f>
        <v>0.49100689501895423</v>
      </c>
      <c r="AN50" s="171">
        <f t="shared" si="52"/>
        <v>0.99772125108928034</v>
      </c>
      <c r="AO50" s="172">
        <f t="shared" si="52"/>
        <v>0.98788148574193602</v>
      </c>
      <c r="AP50" s="172">
        <f t="shared" si="52"/>
        <v>5.5217860895612203E-3</v>
      </c>
      <c r="AQ50" s="172">
        <f t="shared" si="52"/>
        <v>0.29945393629223127</v>
      </c>
      <c r="AR50" s="445">
        <f t="shared" si="52"/>
        <v>0.24954296393361064</v>
      </c>
      <c r="AS50" s="168">
        <f t="shared" ca="1" si="41"/>
        <v>0.97086789425399456</v>
      </c>
      <c r="AT50" s="169">
        <f t="shared" ca="1" si="42"/>
        <v>0.98201379003790845</v>
      </c>
      <c r="AU50" s="169">
        <f t="shared" si="43"/>
        <v>0</v>
      </c>
      <c r="AV50" s="169">
        <f t="shared" ca="1" si="44"/>
        <v>0.1510648059034107</v>
      </c>
      <c r="AW50" s="170">
        <f t="shared" ca="1" si="45"/>
        <v>0.57366423236621877</v>
      </c>
      <c r="AX50" s="168">
        <f t="shared" ca="1" si="46"/>
        <v>0.9686555300975106</v>
      </c>
      <c r="AY50" s="169">
        <f t="shared" ca="1" si="46"/>
        <v>0.97011324192171866</v>
      </c>
      <c r="AZ50" s="169">
        <f t="shared" si="46"/>
        <v>0</v>
      </c>
      <c r="BA50" s="169">
        <f t="shared" ca="1" si="46"/>
        <v>4.5236950762998232E-2</v>
      </c>
      <c r="BB50" s="170">
        <f t="shared" ca="1" si="46"/>
        <v>0.14315387284736578</v>
      </c>
      <c r="BC50" s="168">
        <f t="shared" ca="1" si="53"/>
        <v>2.9886758078281228E-2</v>
      </c>
      <c r="BD50" s="169">
        <f t="shared" ca="1" si="47"/>
        <v>0.44176542208633124</v>
      </c>
      <c r="BE50" s="169">
        <f t="shared" ca="1" si="48"/>
        <v>0.44243022671428472</v>
      </c>
      <c r="BF50" s="169">
        <f t="shared" ca="1" si="49"/>
        <v>0</v>
      </c>
      <c r="BG50" s="169">
        <f t="shared" ca="1" si="50"/>
        <v>2.0630781559366908E-2</v>
      </c>
      <c r="BH50" s="170">
        <f t="shared" ca="1" si="51"/>
        <v>6.5286811561735866E-2</v>
      </c>
    </row>
    <row r="51" spans="1:60" x14ac:dyDescent="0.2">
      <c r="A51" s="189">
        <v>2034</v>
      </c>
      <c r="B51" s="667" cm="1">
        <f t="array" ref="B51">ROUND(INDEX(COST_Cls3,$A51-($A$24-1),MATCH(B$20,TECHOPTS_Cls3,0)),2)</f>
        <v>85531.38</v>
      </c>
      <c r="C51" s="668" cm="1">
        <f t="array" ref="C51">ROUND(INDEX(COST_Cls3,$A51-($A$24-1),MATCH(C$20,TECHOPTS_Cls3,0)),2)</f>
        <v>2653.21</v>
      </c>
      <c r="D51" s="668" cm="1">
        <f t="array" ref="D51">ROUND(INDEX(COST_Cls3,$A51-($A$24-1),MATCH(D$20,TECHOPTS_Cls3,0)),2)</f>
        <v>5686.34</v>
      </c>
      <c r="E51" s="668" cm="1">
        <f t="array" ref="E51">ROUND(INDEX(COST_Cls3,$A51-($A$24-1),MATCH(E$20,TECHOPTS_Cls3,0)),2)</f>
        <v>110394.5</v>
      </c>
      <c r="F51" s="668" cm="1">
        <f t="array" ref="F51">ROUND(INDEX(COST_Cls3,$A51-($A$24-1),MATCH(F$20,TECHOPTS_Cls3,0)),2)</f>
        <v>55278.3</v>
      </c>
      <c r="G51" s="669" cm="1">
        <f t="array" ref="G51">ROUND(INDEX(COST_Cls3,$A51-($A$24-1),MATCH(G$20,TECHOPTS_Cls3,0)),2)</f>
        <v>57453.02</v>
      </c>
      <c r="H51" s="628" cm="1">
        <f t="array" ref="H51">IF(H$21="Single-fuel",1,1-MIN(INDEX(CDRANGE_CLS3,$A51-($A$24-1),MATCH(H$20,TECHOPTS_Cls3,0))*OPDAYS_Cls3/$D$6,1))</f>
        <v>1</v>
      </c>
      <c r="I51" s="629" cm="1">
        <f t="array" ref="I51">IF(I$21="Single-fuel",1,1-MIN(INDEX(CDRANGE_CLS3,$A51-($A$24-1),MATCH(I$20,TECHOPTS_Cls3,0))*OPDAYS_Cls3/$D$6,1))</f>
        <v>1</v>
      </c>
      <c r="J51" s="629" cm="1">
        <f t="array" ref="J51">IF(J$21="Single-fuel",1,1-MIN(INDEX(CDRANGE_CLS3,$A51-($A$24-1),MATCH(J$20,TECHOPTS_Cls3,0))*OPDAYS_Cls3/$D$6,1))</f>
        <v>1</v>
      </c>
      <c r="K51" s="629" cm="1">
        <f t="array" ref="K51">IF(K$21="Single-fuel",1,1-MIN(INDEX(CDRANGE_CLS3,$A51-($A$24-1),MATCH(K$20,TECHOPTS_Cls3,0))*OPDAYS_Cls3/$D$6,1))</f>
        <v>1</v>
      </c>
      <c r="L51" s="629" cm="1">
        <f t="array" ref="L51">IF(L$21="Single-fuel",1,1-MIN(INDEX(CDRANGE_CLS3,$A51-($A$24-1),MATCH(L$20,TECHOPTS_Cls3,0))*OPDAYS_Cls3/$D$6,1))</f>
        <v>1</v>
      </c>
      <c r="M51" s="630" cm="1">
        <f t="array" ref="M51">IF(M$21="Single-fuel",1,1-MIN(INDEX(CDRANGE_CLS3,$A51-($A$24-1),MATCH(M$20,TECHOPTS_Cls3,0))*OPDAYS_Cls3/$D$6,1))</f>
        <v>0.862953287657792</v>
      </c>
      <c r="N51" s="580"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148"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7874.7283793850729</v>
      </c>
      <c r="P51" s="148"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6158.8223660414442</v>
      </c>
      <c r="Q51" s="148"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7182.1416750205262</v>
      </c>
      <c r="R51" s="148"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6440.1532008751574</v>
      </c>
      <c r="S51" s="150"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5283.5280363107904</v>
      </c>
      <c r="T51" s="581">
        <f t="shared" si="30"/>
        <v>400.2926832311241</v>
      </c>
      <c r="U51" s="162">
        <f t="shared" si="31"/>
        <v>2116.1986965747528</v>
      </c>
      <c r="V51" s="162">
        <f t="shared" si="32"/>
        <v>1092.8793875956708</v>
      </c>
      <c r="W51" s="162">
        <f t="shared" si="33"/>
        <v>1834.8678617410396</v>
      </c>
      <c r="X51" s="163">
        <f t="shared" si="34"/>
        <v>2991.4930263054066</v>
      </c>
      <c r="Y51" s="151" cm="1">
        <f t="array" aca="1" ref="Y51" ca="1">IF(AND(Y$22=TRUE,INDEX(CDRANGE_CLS3,MATCH($A51,$A$24:$A$67,0),MATCH(Y$20,$B$20:$G$20,0))&lt;$D$6/OPDAYS_Cls3),86,payback(C51,T51,disc_rate/12,85))</f>
        <v>7</v>
      </c>
      <c r="Z51" s="152" cm="1">
        <f t="array" aca="1" ref="Z51" ca="1">IF(AND(Z$22=TRUE,INDEX(CDRANGE_CLS3,MATCH($A51,$A$24:$A$67,0),MATCH(Z$20,$B$20:$G$20,0))&lt;$D$6/OPDAYS_Cls3),86,payback(D51,U51,disc_rate/12,85))</f>
        <v>3</v>
      </c>
      <c r="AA51" s="152" cm="1">
        <f t="array" ref="AA51">IF(AND(AA$22=TRUE,INDEX(CDRANGE_CLS3,MATCH($A51,$A$24:$A$67,0),MATCH(AA$20,$B$20:$G$20,0))&lt;$D$6/OPDAYS_Cls3),86,payback(E51,V51,disc_rate/12,85))</f>
        <v>86</v>
      </c>
      <c r="AB51" s="152" cm="1">
        <f t="array" aca="1" ref="AB51" ca="1">IF(AND(AB$22=TRUE,INDEX(CDRANGE_CLS3,MATCH($A51,$A$24:$A$67,0),MATCH(AB$20,$B$20:$G$20,0))&lt;$D$6/OPDAYS_Cls3),86,payback(F51,W51,disc_rate/12,85))</f>
        <v>34</v>
      </c>
      <c r="AC51" s="153" cm="1">
        <f t="array" aca="1" ref="AC51" ca="1">IF(AND(AC$22=TRUE,INDEX(CDRANGE_CLS3,MATCH($A51,$A$24:$A$67,0),MATCH(AC$20,$B$20:$G$20,0))&lt;$D$6/OPDAYS_Cls3),86,payback(G51,X51,disc_rate/12,85))</f>
        <v>21</v>
      </c>
      <c r="AD51" s="168">
        <f t="shared" si="35"/>
        <v>0</v>
      </c>
      <c r="AE51" s="169">
        <f t="shared" si="36"/>
        <v>0</v>
      </c>
      <c r="AF51" s="169">
        <f t="shared" si="37"/>
        <v>0</v>
      </c>
      <c r="AG51" s="169">
        <f t="shared" si="38"/>
        <v>0</v>
      </c>
      <c r="AH51" s="170">
        <f t="shared" si="39"/>
        <v>0</v>
      </c>
      <c r="AI51" s="442" cm="1">
        <f t="array" ref="AI51">IF($A51&lt;AI$23,0,AI$21+VLOOKUP($A51-AI$23,SCdata,2,1)*(AI$22-AI$21))*IF($D$5="Non-Central",INDEX(fuel_avail,$A51-$A$24+1,MATCH(O$21,Fuels,0)),1)</f>
        <v>0.49665357453785763</v>
      </c>
      <c r="AJ51" s="172" cm="1">
        <f t="array" ref="AJ51">IF($A51&lt;AJ$23,0,AJ$21+VLOOKUP($A51-AJ$23,SCdata,2,1)*(AJ$22-AJ$21))*IF($D$5="Non-Central",INDEX(fuel_avail,$A51-$A$24+1,MATCH(P$21,Fuels,0)),1)</f>
        <v>0.49665357453785763</v>
      </c>
      <c r="AK51" s="172" cm="1">
        <f t="array" ref="AK51">IF($A51&lt;AK$23,0,AK$21+VLOOKUP($A51-AK$23,SCdata,2,1)*(AK$22-AK$21))*IF($D$5="Non-Central",INDEX(fuel_avail,$A51-$A$24+1,MATCH(Q$21,Fuels,0)),1)</f>
        <v>0.49665357453785763</v>
      </c>
      <c r="AL51" s="172" cm="1">
        <f t="array" ref="AL51">IF($A51&lt;AL$23,0,AL$21+VLOOKUP($A51-AL$23,SCdata,2,1)*(AL$22-AL$21))*IF($D$5="Non-Central",INDEX(fuel_avail,$A51-$A$24+1,MATCH(R$21,Fuels,0)),1)</f>
        <v>0.49665357453785763</v>
      </c>
      <c r="AM51" s="445" cm="1">
        <f t="array" ref="AM51">IF($A51&lt;AM$23,0,AM$21+VLOOKUP($A51-AM$23,SCdata,2,1)*(AM$22-AM$21))*IF($D$5="Non-Central",INDEX(fuel_avail,$A51-$A$24+1,MATCH(S$21,Fuels,0)),1)</f>
        <v>0.49665357453785763</v>
      </c>
      <c r="AN51" s="171">
        <f t="shared" si="52"/>
        <v>0.99733062555285257</v>
      </c>
      <c r="AO51" s="172">
        <f t="shared" si="52"/>
        <v>0.98779749829994035</v>
      </c>
      <c r="AP51" s="172">
        <f t="shared" si="52"/>
        <v>9.7796988641618565E-3</v>
      </c>
      <c r="AQ51" s="172">
        <f t="shared" si="52"/>
        <v>0.31340420136811964</v>
      </c>
      <c r="AR51" s="445">
        <f t="shared" si="52"/>
        <v>0.28554669416343637</v>
      </c>
      <c r="AS51" s="168">
        <f t="shared" ca="1" si="41"/>
        <v>0.99005633827363348</v>
      </c>
      <c r="AT51" s="169">
        <f t="shared" ca="1" si="42"/>
        <v>0.99330714907571527</v>
      </c>
      <c r="AU51" s="169">
        <f t="shared" si="43"/>
        <v>0</v>
      </c>
      <c r="AV51" s="169">
        <f t="shared" ca="1" si="44"/>
        <v>0.26540362767958869</v>
      </c>
      <c r="AW51" s="170">
        <f t="shared" ca="1" si="45"/>
        <v>0.64672083042058004</v>
      </c>
      <c r="AX51" s="168">
        <f t="shared" ca="1" si="46"/>
        <v>0.98741350718300946</v>
      </c>
      <c r="AY51" s="169">
        <f t="shared" ca="1" si="46"/>
        <v>0.98118631690043745</v>
      </c>
      <c r="AZ51" s="169">
        <f t="shared" si="46"/>
        <v>0</v>
      </c>
      <c r="BA51" s="169">
        <f t="shared" ca="1" si="46"/>
        <v>8.3178611973123262E-2</v>
      </c>
      <c r="BB51" s="170">
        <f t="shared" ca="1" si="46"/>
        <v>0.18466899517322896</v>
      </c>
      <c r="BC51" s="168">
        <f t="shared" ca="1" si="53"/>
        <v>1.2586492816990535E-2</v>
      </c>
      <c r="BD51" s="169">
        <f t="shared" ca="1" si="47"/>
        <v>0.4359527617563167</v>
      </c>
      <c r="BE51" s="169">
        <f t="shared" ca="1" si="48"/>
        <v>0.43320339608335334</v>
      </c>
      <c r="BF51" s="169">
        <f t="shared" ca="1" si="49"/>
        <v>0</v>
      </c>
      <c r="BG51" s="169">
        <f t="shared" ca="1" si="50"/>
        <v>3.6724174163053291E-2</v>
      </c>
      <c r="BH51" s="170">
        <f t="shared" ca="1" si="51"/>
        <v>8.1533175180286188E-2</v>
      </c>
    </row>
    <row r="52" spans="1:60" ht="13.5" thickBot="1" x14ac:dyDescent="0.25">
      <c r="A52" s="174">
        <v>2035</v>
      </c>
      <c r="B52" s="670" cm="1">
        <f t="array" ref="B52">ROUND(INDEX(COST_Cls3,$A52-($A$24-1),MATCH(B$20,TECHOPTS_Cls3,0)),2)</f>
        <v>85583.679999999993</v>
      </c>
      <c r="C52" s="671" cm="1">
        <f t="array" ref="C52">ROUND(INDEX(COST_Cls3,$A52-($A$24-1),MATCH(C$20,TECHOPTS_Cls3,0)),2)</f>
        <v>2969.34</v>
      </c>
      <c r="D52" s="671" cm="1">
        <f t="array" ref="D52">ROUND(INDEX(COST_Cls3,$A52-($A$24-1),MATCH(D$20,TECHOPTS_Cls3,0)),2)</f>
        <v>5722.34</v>
      </c>
      <c r="E52" s="671" cm="1">
        <f t="array" ref="E52">ROUND(INDEX(COST_Cls3,$A52-($A$24-1),MATCH(E$20,TECHOPTS_Cls3,0)),2)</f>
        <v>100224.34</v>
      </c>
      <c r="F52" s="671" cm="1">
        <f t="array" ref="F52">ROUND(INDEX(COST_Cls3,$A52-($A$24-1),MATCH(F$20,TECHOPTS_Cls3,0)),2)</f>
        <v>53663.34</v>
      </c>
      <c r="G52" s="672" cm="1">
        <f t="array" ref="G52">ROUND(INDEX(COST_Cls3,$A52-($A$24-1),MATCH(G$20,TECHOPTS_Cls3,0)),2)</f>
        <v>52835.34</v>
      </c>
      <c r="H52" s="628" cm="1">
        <f t="array" ref="H52">IF(H$21="Single-fuel",1,1-MIN(INDEX(CDRANGE_CLS3,$A52-($A$24-1),MATCH(H$20,TECHOPTS_Cls3,0))*OPDAYS_Cls3/$D$6,1))</f>
        <v>1</v>
      </c>
      <c r="I52" s="629" cm="1">
        <f t="array" ref="I52">IF(I$21="Single-fuel",1,1-MIN(INDEX(CDRANGE_CLS3,$A52-($A$24-1),MATCH(I$20,TECHOPTS_Cls3,0))*OPDAYS_Cls3/$D$6,1))</f>
        <v>1</v>
      </c>
      <c r="J52" s="629" cm="1">
        <f t="array" ref="J52">IF(J$21="Single-fuel",1,1-MIN(INDEX(CDRANGE_CLS3,$A52-($A$24-1),MATCH(J$20,TECHOPTS_Cls3,0))*OPDAYS_Cls3/$D$6,1))</f>
        <v>1</v>
      </c>
      <c r="K52" s="629" cm="1">
        <f t="array" ref="K52">IF(K$21="Single-fuel",1,1-MIN(INDEX(CDRANGE_CLS3,$A52-($A$24-1),MATCH(K$20,TECHOPTS_Cls3,0))*OPDAYS_Cls3/$D$6,1))</f>
        <v>1</v>
      </c>
      <c r="L52" s="629" cm="1">
        <f t="array" ref="L52">IF(L$21="Single-fuel",1,1-MIN(INDEX(CDRANGE_CLS3,$A52-($A$24-1),MATCH(L$20,TECHOPTS_Cls3,0))*OPDAYS_Cls3/$D$6,1))</f>
        <v>1</v>
      </c>
      <c r="M52" s="630" cm="1">
        <f t="array" ref="M52">IF(M$21="Single-fuel",1,1-MIN(INDEX(CDRANGE_CLS3,$A52-($A$24-1),MATCH(M$20,TECHOPTS_Cls3,0))*OPDAYS_Cls3/$D$6,1))</f>
        <v>0.86291242807905189</v>
      </c>
      <c r="N52" s="730"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626"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7816.1867195389668</v>
      </c>
      <c r="P52" s="626"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6115.1413389132485</v>
      </c>
      <c r="Q52" s="626"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7039.0939115942792</v>
      </c>
      <c r="R52" s="626"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6242.3394519397216</v>
      </c>
      <c r="S52" s="627"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5242.3149957977521</v>
      </c>
      <c r="T52" s="584">
        <f t="shared" si="30"/>
        <v>516.03774582061396</v>
      </c>
      <c r="U52" s="176">
        <f t="shared" si="31"/>
        <v>2217.0831264463322</v>
      </c>
      <c r="V52" s="176">
        <f t="shared" si="32"/>
        <v>1293.1305537653016</v>
      </c>
      <c r="W52" s="176">
        <f t="shared" si="33"/>
        <v>2089.8850134198592</v>
      </c>
      <c r="X52" s="177">
        <f t="shared" si="34"/>
        <v>3089.9094695618287</v>
      </c>
      <c r="Y52" s="735" cm="1">
        <f t="array" aca="1" ref="Y52" ca="1">IF(AND(Y$22=TRUE,INDEX(CDRANGE_CLS3,MATCH($A52,$A$24:$A$67,0),MATCH(Y$20,$B$20:$G$20,0))&lt;$D$6/OPDAYS_Cls3),86,payback(C52,T52,disc_rate/12,85))</f>
        <v>6</v>
      </c>
      <c r="Z52" s="736" cm="1">
        <f t="array" aca="1" ref="Z52" ca="1">IF(AND(Z$22=TRUE,INDEX(CDRANGE_CLS3,MATCH($A52,$A$24:$A$67,0),MATCH(Z$20,$B$20:$G$20,0))&lt;$D$6/OPDAYS_Cls3),86,payback(D52,U52,disc_rate/12,85))</f>
        <v>3</v>
      </c>
      <c r="AA52" s="736" cm="1">
        <f t="array" ref="AA52">IF(AND(AA$22=TRUE,INDEX(CDRANGE_CLS3,MATCH($A52,$A$24:$A$67,0),MATCH(AA$20,$B$20:$G$20,0))&lt;$D$6/OPDAYS_Cls3),86,payback(E52,V52,disc_rate/12,85))</f>
        <v>86</v>
      </c>
      <c r="AB52" s="736" cm="1">
        <f t="array" aca="1" ref="AB52" ca="1">IF(AND(AB$22=TRUE,INDEX(CDRANGE_CLS3,MATCH($A52,$A$24:$A$67,0),MATCH(AB$20,$B$20:$G$20,0))&lt;$D$6/OPDAYS_Cls3),86,payback(F52,W52,disc_rate/12,85))</f>
        <v>29</v>
      </c>
      <c r="AC52" s="737" cm="1">
        <f t="array" aca="1" ref="AC52" ca="1">IF(AND(AC$22=TRUE,INDEX(CDRANGE_CLS3,MATCH($A52,$A$24:$A$67,0),MATCH(AC$20,$B$20:$G$20,0))&lt;$D$6/OPDAYS_Cls3),86,payback(G52,X52,disc_rate/12,85))</f>
        <v>19</v>
      </c>
      <c r="AD52" s="182">
        <f t="shared" si="35"/>
        <v>0</v>
      </c>
      <c r="AE52" s="183">
        <f t="shared" si="36"/>
        <v>0</v>
      </c>
      <c r="AF52" s="183">
        <f t="shared" si="37"/>
        <v>0</v>
      </c>
      <c r="AG52" s="183">
        <f t="shared" si="38"/>
        <v>0</v>
      </c>
      <c r="AH52" s="184">
        <f t="shared" si="39"/>
        <v>0</v>
      </c>
      <c r="AI52" s="443" cm="1">
        <f t="array" ref="AI52">IF($A52&lt;AI$23,0,AI$21+VLOOKUP($A52-AI$23,SCdata,2,1)*(AI$22-AI$21))*IF($D$5="Non-Central",INDEX(fuel_avail,$A52-$A$24+1,MATCH(O$21,Fuels,0)),1)</f>
        <v>0.49876368842168267</v>
      </c>
      <c r="AJ52" s="186" cm="1">
        <f t="array" ref="AJ52">IF($A52&lt;AJ$23,0,AJ$21+VLOOKUP($A52-AJ$23,SCdata,2,1)*(AJ$22-AJ$21))*IF($D$5="Non-Central",INDEX(fuel_avail,$A52-$A$24+1,MATCH(P$21,Fuels,0)),1)</f>
        <v>0.49876368842168267</v>
      </c>
      <c r="AK52" s="186" cm="1">
        <f t="array" ref="AK52">IF($A52&lt;AK$23,0,AK$21+VLOOKUP($A52-AK$23,SCdata,2,1)*(AK$22-AK$21))*IF($D$5="Non-Central",INDEX(fuel_avail,$A52-$A$24+1,MATCH(Q$21,Fuels,0)),1)</f>
        <v>0.49876368842168267</v>
      </c>
      <c r="AL52" s="186" cm="1">
        <f t="array" ref="AL52">IF($A52&lt;AL$23,0,AL$21+VLOOKUP($A52-AL$23,SCdata,2,1)*(AL$22-AL$21))*IF($D$5="Non-Central",INDEX(fuel_avail,$A52-$A$24+1,MATCH(R$21,Fuels,0)),1)</f>
        <v>0.49876368842168267</v>
      </c>
      <c r="AM52" s="446" cm="1">
        <f t="array" ref="AM52">IF($A52&lt;AM$23,0,AM$21+VLOOKUP($A52-AM$23,SCdata,2,1)*(AM$22-AM$21))*IF($D$5="Non-Central",INDEX(fuel_avail,$A52-$A$24+1,MATCH(S$21,Fuels,0)),1)</f>
        <v>0.49876368842168267</v>
      </c>
      <c r="AN52" s="185">
        <f t="shared" si="52"/>
        <v>0.99666182149208904</v>
      </c>
      <c r="AO52" s="186">
        <f t="shared" si="52"/>
        <v>0.98765846756555875</v>
      </c>
      <c r="AP52" s="186">
        <f t="shared" si="52"/>
        <v>2.2160418603481169E-2</v>
      </c>
      <c r="AQ52" s="186">
        <f t="shared" si="52"/>
        <v>0.33550394276460382</v>
      </c>
      <c r="AR52" s="446">
        <f t="shared" si="52"/>
        <v>0.34691352691854638</v>
      </c>
      <c r="AS52" s="182">
        <f t="shared" ca="1" si="41"/>
        <v>0.99752737684336534</v>
      </c>
      <c r="AT52" s="183">
        <f t="shared" ca="1" si="42"/>
        <v>0.99752737684336534</v>
      </c>
      <c r="AU52" s="183">
        <f t="shared" si="43"/>
        <v>0</v>
      </c>
      <c r="AV52" s="183">
        <f t="shared" ca="1" si="44"/>
        <v>0.39505542732773269</v>
      </c>
      <c r="AW52" s="184">
        <f t="shared" ca="1" si="45"/>
        <v>0.71594312431186258</v>
      </c>
      <c r="AX52" s="182">
        <f t="shared" ca="1" si="46"/>
        <v>0.994197452392934</v>
      </c>
      <c r="AY52" s="183">
        <f t="shared" ca="1" si="46"/>
        <v>0.9852163603678098</v>
      </c>
      <c r="AZ52" s="183">
        <f t="shared" si="46"/>
        <v>0</v>
      </c>
      <c r="BA52" s="183">
        <f t="shared" ca="1" si="46"/>
        <v>0.13254265347900973</v>
      </c>
      <c r="BB52" s="184">
        <f t="shared" ca="1" si="46"/>
        <v>0.24837035432811153</v>
      </c>
      <c r="BC52" s="182">
        <f t="shared" ca="1" si="53"/>
        <v>5.8025476070659998E-3</v>
      </c>
      <c r="BD52" s="183">
        <f t="shared" ca="1" si="47"/>
        <v>0.41876767476920712</v>
      </c>
      <c r="BE52" s="183">
        <f t="shared" ca="1" si="48"/>
        <v>0.41498473304551103</v>
      </c>
      <c r="BF52" s="183">
        <f t="shared" ca="1" si="49"/>
        <v>0</v>
      </c>
      <c r="BG52" s="183">
        <f t="shared" ca="1" si="50"/>
        <v>5.5828526487924184E-2</v>
      </c>
      <c r="BH52" s="184">
        <f t="shared" ca="1" si="51"/>
        <v>0.10461651809029172</v>
      </c>
    </row>
    <row r="53" spans="1:60" x14ac:dyDescent="0.2">
      <c r="A53" s="188">
        <v>2036</v>
      </c>
      <c r="B53" s="673" cm="1">
        <f t="array" ref="B53">ROUND(INDEX(COST_Cls3,$A53-($A$24-1),MATCH(B$20,TECHOPTS_Cls3,0)),2)</f>
        <v>85592.95</v>
      </c>
      <c r="C53" s="674" cm="1">
        <f t="array" ref="C53">ROUND(INDEX(COST_Cls3,$A53-($A$24-1),MATCH(C$20,TECHOPTS_Cls3,0)),2)</f>
        <v>2895.78</v>
      </c>
      <c r="D53" s="674" cm="1">
        <f t="array" ref="D53">ROUND(INDEX(COST_Cls3,$A53-($A$24-1),MATCH(D$20,TECHOPTS_Cls3,0)),2)</f>
        <v>5312.56</v>
      </c>
      <c r="E53" s="674" cm="1">
        <f t="array" ref="E53">ROUND(INDEX(COST_Cls3,$A53-($A$24-1),MATCH(E$20,TECHOPTS_Cls3,0)),2)</f>
        <v>94214.9</v>
      </c>
      <c r="F53" s="674" cm="1">
        <f t="array" ref="F53">ROUND(INDEX(COST_Cls3,$A53-($A$24-1),MATCH(F$20,TECHOPTS_Cls3,0)),2)</f>
        <v>50970.19</v>
      </c>
      <c r="G53" s="675" cm="1">
        <f t="array" ref="G53">ROUND(INDEX(COST_Cls3,$A53-($A$24-1),MATCH(G$20,TECHOPTS_Cls3,0)),2)</f>
        <v>50378.51</v>
      </c>
      <c r="H53" s="628" cm="1">
        <f t="array" ref="H53">IF(H$21="Single-fuel",1,1-MIN(INDEX(CDRANGE_CLS3,$A53-($A$24-1),MATCH(H$20,TECHOPTS_Cls3,0))*OPDAYS_Cls3/$D$6,1))</f>
        <v>1</v>
      </c>
      <c r="I53" s="629" cm="1">
        <f t="array" ref="I53">IF(I$21="Single-fuel",1,1-MIN(INDEX(CDRANGE_CLS3,$A53-($A$24-1),MATCH(I$20,TECHOPTS_Cls3,0))*OPDAYS_Cls3/$D$6,1))</f>
        <v>1</v>
      </c>
      <c r="J53" s="629" cm="1">
        <f t="array" ref="J53">IF(J$21="Single-fuel",1,1-MIN(INDEX(CDRANGE_CLS3,$A53-($A$24-1),MATCH(J$20,TECHOPTS_Cls3,0))*OPDAYS_Cls3/$D$6,1))</f>
        <v>1</v>
      </c>
      <c r="K53" s="629" cm="1">
        <f t="array" ref="K53">IF(K$21="Single-fuel",1,1-MIN(INDEX(CDRANGE_CLS3,$A53-($A$24-1),MATCH(K$20,TECHOPTS_Cls3,0))*OPDAYS_Cls3/$D$6,1))</f>
        <v>1</v>
      </c>
      <c r="L53" s="629" cm="1">
        <f t="array" ref="L53">IF(L$21="Single-fuel",1,1-MIN(INDEX(CDRANGE_CLS3,$A53-($A$24-1),MATCH(L$20,TECHOPTS_Cls3,0))*OPDAYS_Cls3/$D$6,1))</f>
        <v>1</v>
      </c>
      <c r="M53" s="630" cm="1">
        <f t="array" ref="M53">IF(M$21="Single-fuel",1,1-MIN(INDEX(CDRANGE_CLS3,$A53-($A$24-1),MATCH(M$20,TECHOPTS_Cls3,0))*OPDAYS_Cls3/$D$6,1))</f>
        <v>0.86063681888006927</v>
      </c>
      <c r="N53" s="580"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148"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7771.5184598681308</v>
      </c>
      <c r="P53" s="148"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6068.7936443950512</v>
      </c>
      <c r="Q53" s="148"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6901.1539799152451</v>
      </c>
      <c r="R53" s="148"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6009.9874876892873</v>
      </c>
      <c r="S53" s="150"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5206.3013531337529</v>
      </c>
      <c r="T53" s="580">
        <f t="shared" si="30"/>
        <v>644.58839483445172</v>
      </c>
      <c r="U53" s="148">
        <f t="shared" si="31"/>
        <v>2347.3132103075313</v>
      </c>
      <c r="V53" s="148">
        <f t="shared" si="32"/>
        <v>1514.9528747873374</v>
      </c>
      <c r="W53" s="148">
        <f t="shared" si="33"/>
        <v>2406.1193670132952</v>
      </c>
      <c r="X53" s="149">
        <f t="shared" si="34"/>
        <v>3209.8055015688296</v>
      </c>
      <c r="Y53" s="151" cm="1">
        <f t="array" aca="1" ref="Y53" ca="1">IF(AND(Y$22=TRUE,INDEX(CDRANGE_CLS3,MATCH($A53,$A$24:$A$67,0),MATCH(Y$20,$B$20:$G$20,0))&lt;$D$6/OPDAYS_Cls3),86,payback(C53,T53,disc_rate/12,85))</f>
        <v>5</v>
      </c>
      <c r="Z53" s="152" cm="1">
        <f t="array" aca="1" ref="Z53" ca="1">IF(AND(Z$22=TRUE,INDEX(CDRANGE_CLS3,MATCH($A53,$A$24:$A$67,0),MATCH(Z$20,$B$20:$G$20,0))&lt;$D$6/OPDAYS_Cls3),86,payback(D53,U53,disc_rate/12,85))</f>
        <v>3</v>
      </c>
      <c r="AA53" s="152" cm="1">
        <f t="array" ref="AA53">IF(AND(AA$22=TRUE,INDEX(CDRANGE_CLS3,MATCH($A53,$A$24:$A$67,0),MATCH(AA$20,$B$20:$G$20,0))&lt;$D$6/OPDAYS_Cls3),86,payback(E53,V53,disc_rate/12,85))</f>
        <v>86</v>
      </c>
      <c r="AB53" s="152" cm="1">
        <f t="array" aca="1" ref="AB53" ca="1">IF(AND(AB$22=TRUE,INDEX(CDRANGE_CLS3,MATCH($A53,$A$24:$A$67,0),MATCH(AB$20,$B$20:$G$20,0))&lt;$D$6/OPDAYS_Cls3),86,payback(F53,W53,disc_rate/12,85))</f>
        <v>23</v>
      </c>
      <c r="AC53" s="153" cm="1">
        <f t="array" aca="1" ref="AC53" ca="1">IF(AND(AC$22=TRUE,INDEX(CDRANGE_CLS3,MATCH($A53,$A$24:$A$67,0),MATCH(AC$20,$B$20:$G$20,0))&lt;$D$6/OPDAYS_Cls3),86,payback(G53,X53,disc_rate/12,85))</f>
        <v>17</v>
      </c>
      <c r="AD53" s="154">
        <f t="shared" si="35"/>
        <v>0</v>
      </c>
      <c r="AE53" s="155">
        <f t="shared" si="36"/>
        <v>0</v>
      </c>
      <c r="AF53" s="155">
        <f t="shared" si="37"/>
        <v>0</v>
      </c>
      <c r="AG53" s="155">
        <f t="shared" si="38"/>
        <v>0</v>
      </c>
      <c r="AH53" s="156">
        <f t="shared" si="39"/>
        <v>0</v>
      </c>
      <c r="AI53" s="441" cm="1">
        <f t="array" ref="AI53">IF($A53&lt;AI$23,0,AI$21+VLOOKUP($A53-AI$23,SCdata,2,1)*(AI$22-AI$21))*IF($D$5="Non-Central",INDEX(fuel_avail,$A53-$A$24+1,MATCH(O$21,Fuels,0)),1)</f>
        <v>0.4995444744027997</v>
      </c>
      <c r="AJ53" s="158" cm="1">
        <f t="array" ref="AJ53">IF($A53&lt;AJ$23,0,AJ$21+VLOOKUP($A53-AJ$23,SCdata,2,1)*(AJ$22-AJ$21))*IF($D$5="Non-Central",INDEX(fuel_avail,$A53-$A$24+1,MATCH(P$21,Fuels,0)),1)</f>
        <v>0.4995444744027997</v>
      </c>
      <c r="AK53" s="158" cm="1">
        <f t="array" ref="AK53">IF($A53&lt;AK$23,0,AK$21+VLOOKUP($A53-AK$23,SCdata,2,1)*(AK$22-AK$21))*IF($D$5="Non-Central",INDEX(fuel_avail,$A53-$A$24+1,MATCH(Q$21,Fuels,0)),1)</f>
        <v>0.4995444744027997</v>
      </c>
      <c r="AL53" s="158" cm="1">
        <f t="array" ref="AL53">IF($A53&lt;AL$23,0,AL$21+VLOOKUP($A53-AL$23,SCdata,2,1)*(AL$22-AL$21))*IF($D$5="Non-Central",INDEX(fuel_avail,$A53-$A$24+1,MATCH(R$21,Fuels,0)),1)</f>
        <v>0.4995444744027997</v>
      </c>
      <c r="AM53" s="458" cm="1">
        <f t="array" ref="AM53">IF($A53&lt;AM$23,0,AM$21+VLOOKUP($A53-AM$23,SCdata,2,1)*(AM$22-AM$21))*IF($D$5="Non-Central",INDEX(fuel_avail,$A53-$A$24+1,MATCH(S$21,Fuels,0)),1)</f>
        <v>0.4995444744027997</v>
      </c>
      <c r="AN53" s="157">
        <f t="shared" si="52"/>
        <v>0.99682559443856689</v>
      </c>
      <c r="AO53" s="158">
        <f t="shared" si="52"/>
        <v>0.9893559339869501</v>
      </c>
      <c r="AP53" s="158">
        <f t="shared" si="52"/>
        <v>3.4541768658700844E-2</v>
      </c>
      <c r="AQ53" s="158">
        <f t="shared" si="52"/>
        <v>0.37342416416016377</v>
      </c>
      <c r="AR53" s="458">
        <f t="shared" si="52"/>
        <v>0.38201183827906082</v>
      </c>
      <c r="AS53" s="154">
        <f t="shared" ca="1" si="41"/>
        <v>0.9990889488055994</v>
      </c>
      <c r="AT53" s="155">
        <f t="shared" ca="1" si="42"/>
        <v>0.9990889488055994</v>
      </c>
      <c r="AU53" s="155">
        <f t="shared" si="43"/>
        <v>0</v>
      </c>
      <c r="AV53" s="155">
        <f t="shared" ca="1" si="44"/>
        <v>0.583639049366111</v>
      </c>
      <c r="AW53" s="156">
        <f t="shared" ca="1" si="45"/>
        <v>0.78156737221532613</v>
      </c>
      <c r="AX53" s="154">
        <f t="shared" ca="1" si="46"/>
        <v>0.99591743529014454</v>
      </c>
      <c r="AY53" s="155">
        <f t="shared" ca="1" si="46"/>
        <v>0.98845458008160392</v>
      </c>
      <c r="AZ53" s="155">
        <f t="shared" si="46"/>
        <v>0</v>
      </c>
      <c r="BA53" s="155">
        <f t="shared" ca="1" si="46"/>
        <v>0.21794492418077255</v>
      </c>
      <c r="BB53" s="156">
        <f t="shared" ca="1" si="46"/>
        <v>0.2985679885989117</v>
      </c>
      <c r="BC53" s="154">
        <f t="shared" ca="1" si="53"/>
        <v>4.0825647098553519E-3</v>
      </c>
      <c r="BD53" s="155">
        <f t="shared" ca="1" si="47"/>
        <v>0.39660023008257383</v>
      </c>
      <c r="BE53" s="155">
        <f t="shared" ca="1" si="48"/>
        <v>0.39362832700316053</v>
      </c>
      <c r="BF53" s="155">
        <f t="shared" ca="1" si="49"/>
        <v>0</v>
      </c>
      <c r="BG53" s="155">
        <f t="shared" ca="1" si="50"/>
        <v>8.679133833041236E-2</v>
      </c>
      <c r="BH53" s="156">
        <f t="shared" ca="1" si="51"/>
        <v>0.11889753987399786</v>
      </c>
    </row>
    <row r="54" spans="1:60" x14ac:dyDescent="0.2">
      <c r="A54" s="189">
        <v>2037</v>
      </c>
      <c r="B54" s="667" cm="1">
        <f t="array" ref="B54">ROUND(INDEX(COST_Cls3,$A54-($A$24-1),MATCH(B$20,TECHOPTS_Cls3,0)),2)</f>
        <v>85609.66</v>
      </c>
      <c r="C54" s="668" cm="1">
        <f t="array" ref="C54">ROUND(INDEX(COST_Cls3,$A54-($A$24-1),MATCH(C$20,TECHOPTS_Cls3,0)),2)</f>
        <v>2863.21</v>
      </c>
      <c r="D54" s="668" cm="1">
        <f t="array" ref="D54">ROUND(INDEX(COST_Cls3,$A54-($A$24-1),MATCH(D$20,TECHOPTS_Cls3,0)),2)</f>
        <v>5131.12</v>
      </c>
      <c r="E54" s="668" cm="1">
        <f t="array" ref="E54">ROUND(INDEX(COST_Cls3,$A54-($A$24-1),MATCH(E$20,TECHOPTS_Cls3,0)),2)</f>
        <v>91554.13</v>
      </c>
      <c r="F54" s="668" cm="1">
        <f t="array" ref="F54">ROUND(INDEX(COST_Cls3,$A54-($A$24-1),MATCH(F$20,TECHOPTS_Cls3,0)),2)</f>
        <v>49777.760000000002</v>
      </c>
      <c r="G54" s="669" cm="1">
        <f t="array" ref="G54">ROUND(INDEX(COST_Cls3,$A54-($A$24-1),MATCH(G$20,TECHOPTS_Cls3,0)),2)</f>
        <v>49290.71</v>
      </c>
      <c r="H54" s="628" cm="1">
        <f t="array" ref="H54">IF(H$21="Single-fuel",1,1-MIN(INDEX(CDRANGE_CLS3,$A54-($A$24-1),MATCH(H$20,TECHOPTS_Cls3,0))*OPDAYS_Cls3/$D$6,1))</f>
        <v>1</v>
      </c>
      <c r="I54" s="629" cm="1">
        <f t="array" ref="I54">IF(I$21="Single-fuel",1,1-MIN(INDEX(CDRANGE_CLS3,$A54-($A$24-1),MATCH(I$20,TECHOPTS_Cls3,0))*OPDAYS_Cls3/$D$6,1))</f>
        <v>1</v>
      </c>
      <c r="J54" s="629" cm="1">
        <f t="array" ref="J54">IF(J$21="Single-fuel",1,1-MIN(INDEX(CDRANGE_CLS3,$A54-($A$24-1),MATCH(J$20,TECHOPTS_Cls3,0))*OPDAYS_Cls3/$D$6,1))</f>
        <v>1</v>
      </c>
      <c r="K54" s="629" cm="1">
        <f t="array" ref="K54">IF(K$21="Single-fuel",1,1-MIN(INDEX(CDRANGE_CLS3,$A54-($A$24-1),MATCH(K$20,TECHOPTS_Cls3,0))*OPDAYS_Cls3/$D$6,1))</f>
        <v>1</v>
      </c>
      <c r="L54" s="629" cm="1">
        <f t="array" ref="L54">IF(L$21="Single-fuel",1,1-MIN(INDEX(CDRANGE_CLS3,$A54-($A$24-1),MATCH(L$20,TECHOPTS_Cls3,0))*OPDAYS_Cls3/$D$6,1))</f>
        <v>1</v>
      </c>
      <c r="M54" s="630" cm="1">
        <f t="array" ref="M54">IF(M$21="Single-fuel",1,1-MIN(INDEX(CDRANGE_CLS3,$A54-($A$24-1),MATCH(M$20,TECHOPTS_Cls3,0))*OPDAYS_Cls3/$D$6,1))</f>
        <v>0.85962925890167552</v>
      </c>
      <c r="N54" s="580"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148"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7770.2820206265014</v>
      </c>
      <c r="P54" s="148"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6062.9079446377409</v>
      </c>
      <c r="Q54" s="148"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6825.8694178201058</v>
      </c>
      <c r="R54" s="148"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5839.3692008991566</v>
      </c>
      <c r="S54" s="150"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5198.6174305220711</v>
      </c>
      <c r="T54" s="581">
        <f t="shared" si="30"/>
        <v>701.71233013342953</v>
      </c>
      <c r="U54" s="162">
        <f t="shared" si="31"/>
        <v>2409.0864061221901</v>
      </c>
      <c r="V54" s="162">
        <f t="shared" si="32"/>
        <v>1646.1249329398252</v>
      </c>
      <c r="W54" s="162">
        <f t="shared" si="33"/>
        <v>2632.6251498607744</v>
      </c>
      <c r="X54" s="163">
        <f t="shared" si="34"/>
        <v>3273.3769202378598</v>
      </c>
      <c r="Y54" s="151" cm="1">
        <f t="array" aca="1" ref="Y54" ca="1">IF(AND(Y$22=TRUE,INDEX(CDRANGE_CLS3,MATCH($A54,$A$24:$A$67,0),MATCH(Y$20,$B$20:$G$20,0))&lt;$D$6/OPDAYS_Cls3),86,payback(C54,T54,disc_rate/12,85))</f>
        <v>5</v>
      </c>
      <c r="Z54" s="152" cm="1">
        <f t="array" aca="1" ref="Z54" ca="1">IF(AND(Z$22=TRUE,INDEX(CDRANGE_CLS3,MATCH($A54,$A$24:$A$67,0),MATCH(Z$20,$B$20:$G$20,0))&lt;$D$6/OPDAYS_Cls3),86,payback(D54,U54,disc_rate/12,85))</f>
        <v>3</v>
      </c>
      <c r="AA54" s="152" cm="1">
        <f t="array" ref="AA54">IF(AND(AA$22=TRUE,INDEX(CDRANGE_CLS3,MATCH($A54,$A$24:$A$67,0),MATCH(AA$20,$B$20:$G$20,0))&lt;$D$6/OPDAYS_Cls3),86,payback(E54,V54,disc_rate/12,85))</f>
        <v>86</v>
      </c>
      <c r="AB54" s="152" cm="1">
        <f t="array" aca="1" ref="AB54" ca="1">IF(AND(AB$22=TRUE,INDEX(CDRANGE_CLS3,MATCH($A54,$A$24:$A$67,0),MATCH(AB$20,$B$20:$G$20,0))&lt;$D$6/OPDAYS_Cls3),86,payback(F54,W54,disc_rate/12,85))</f>
        <v>21</v>
      </c>
      <c r="AC54" s="153" cm="1">
        <f t="array" aca="1" ref="AC54" ca="1">IF(AND(AC$22=TRUE,INDEX(CDRANGE_CLS3,MATCH($A54,$A$24:$A$67,0),MATCH(AC$20,$B$20:$G$20,0))&lt;$D$6/OPDAYS_Cls3),86,payback(G54,X54,disc_rate/12,85))</f>
        <v>16</v>
      </c>
      <c r="AD54" s="168">
        <f t="shared" si="35"/>
        <v>0</v>
      </c>
      <c r="AE54" s="169">
        <f t="shared" si="36"/>
        <v>0</v>
      </c>
      <c r="AF54" s="169">
        <f t="shared" si="37"/>
        <v>0</v>
      </c>
      <c r="AG54" s="169">
        <f t="shared" si="38"/>
        <v>0</v>
      </c>
      <c r="AH54" s="170">
        <f t="shared" si="39"/>
        <v>0</v>
      </c>
      <c r="AI54" s="442" cm="1">
        <f t="array" ref="AI54">IF($A54&lt;AI$23,0,AI$21+VLOOKUP($A54-AI$23,SCdata,2,1)*(AI$22-AI$21))*IF($D$5="Non-Central",INDEX(fuel_avail,$A54-$A$24+1,MATCH(O$21,Fuels,0)),1)</f>
        <v>0.49983232493476681</v>
      </c>
      <c r="AJ54" s="172" cm="1">
        <f t="array" ref="AJ54">IF($A54&lt;AJ$23,0,AJ$21+VLOOKUP($A54-AJ$23,SCdata,2,1)*(AJ$22-AJ$21))*IF($D$5="Non-Central",INDEX(fuel_avail,$A54-$A$24+1,MATCH(P$21,Fuels,0)),1)</f>
        <v>0.49983232493476681</v>
      </c>
      <c r="AK54" s="172" cm="1">
        <f t="array" ref="AK54">IF($A54&lt;AK$23,0,AK$21+VLOOKUP($A54-AK$23,SCdata,2,1)*(AK$22-AK$21))*IF($D$5="Non-Central",INDEX(fuel_avail,$A54-$A$24+1,MATCH(Q$21,Fuels,0)),1)</f>
        <v>0.49983232493476681</v>
      </c>
      <c r="AL54" s="172" cm="1">
        <f t="array" ref="AL54">IF($A54&lt;AL$23,0,AL$21+VLOOKUP($A54-AL$23,SCdata,2,1)*(AL$22-AL$21))*IF($D$5="Non-Central",INDEX(fuel_avail,$A54-$A$24+1,MATCH(R$21,Fuels,0)),1)</f>
        <v>0.49983232493476681</v>
      </c>
      <c r="AM54" s="445" cm="1">
        <f t="array" ref="AM54">IF($A54&lt;AM$23,0,AM$21+VLOOKUP($A54-AM$23,SCdata,2,1)*(AM$22-AM$21))*IF($D$5="Non-Central",INDEX(fuel_avail,$A54-$A$24+1,MATCH(S$21,Fuels,0)),1)</f>
        <v>0.49983232493476681</v>
      </c>
      <c r="AN54" s="171">
        <f t="shared" si="52"/>
        <v>0.99689769972908004</v>
      </c>
      <c r="AO54" s="172">
        <f t="shared" si="52"/>
        <v>0.99007086899552821</v>
      </c>
      <c r="AP54" s="172">
        <f t="shared" si="52"/>
        <v>4.171346154271971E-2</v>
      </c>
      <c r="AQ54" s="172">
        <f t="shared" si="52"/>
        <v>0.39097041685459488</v>
      </c>
      <c r="AR54" s="445">
        <f t="shared" si="52"/>
        <v>0.39818617632837949</v>
      </c>
      <c r="AS54" s="168">
        <f t="shared" ca="1" si="41"/>
        <v>0.99966464986953363</v>
      </c>
      <c r="AT54" s="169">
        <f t="shared" ca="1" si="42"/>
        <v>0.99966464986953363</v>
      </c>
      <c r="AU54" s="169">
        <f t="shared" si="43"/>
        <v>0</v>
      </c>
      <c r="AV54" s="169">
        <f t="shared" ca="1" si="44"/>
        <v>0.65086006187240597</v>
      </c>
      <c r="AW54" s="170">
        <f t="shared" ca="1" si="45"/>
        <v>0.81288276948673865</v>
      </c>
      <c r="AX54" s="168">
        <f t="shared" ca="1" si="46"/>
        <v>0.99656338995541427</v>
      </c>
      <c r="AY54" s="169">
        <f t="shared" ca="1" si="46"/>
        <v>0.98973884860043959</v>
      </c>
      <c r="AZ54" s="169">
        <f t="shared" si="46"/>
        <v>0</v>
      </c>
      <c r="BA54" s="169">
        <f t="shared" ca="1" si="46"/>
        <v>0.25446702970426199</v>
      </c>
      <c r="BB54" s="170">
        <f t="shared" ca="1" si="46"/>
        <v>0.32367868178514797</v>
      </c>
      <c r="BC54" s="168">
        <f t="shared" ca="1" si="53"/>
        <v>3.4366100445857306E-3</v>
      </c>
      <c r="BD54" s="169">
        <f t="shared" ca="1" si="47"/>
        <v>0.38727188445446814</v>
      </c>
      <c r="BE54" s="169">
        <f t="shared" ca="1" si="48"/>
        <v>0.38461981734291517</v>
      </c>
      <c r="BF54" s="169">
        <f t="shared" ca="1" si="49"/>
        <v>0</v>
      </c>
      <c r="BG54" s="169">
        <f t="shared" ca="1" si="50"/>
        <v>9.8887764810936557E-2</v>
      </c>
      <c r="BH54" s="170">
        <f t="shared" ca="1" si="51"/>
        <v>0.12578392334709443</v>
      </c>
    </row>
    <row r="55" spans="1:60" x14ac:dyDescent="0.2">
      <c r="A55" s="189">
        <v>2038</v>
      </c>
      <c r="B55" s="667" cm="1">
        <f t="array" ref="B55">ROUND(INDEX(COST_Cls3,$A55-($A$24-1),MATCH(B$20,TECHOPTS_Cls3,0)),2)</f>
        <v>85622.78</v>
      </c>
      <c r="C55" s="668" cm="1">
        <f t="array" ref="C55">ROUND(INDEX(COST_Cls3,$A55-($A$24-1),MATCH(C$20,TECHOPTS_Cls3,0)),2)</f>
        <v>2818.41</v>
      </c>
      <c r="D55" s="668" cm="1">
        <f t="array" ref="D55">ROUND(INDEX(COST_Cls3,$A55-($A$24-1),MATCH(D$20,TECHOPTS_Cls3,0)),2)</f>
        <v>4881.59</v>
      </c>
      <c r="E55" s="668" cm="1">
        <f t="array" ref="E55">ROUND(INDEX(COST_Cls3,$A55-($A$24-1),MATCH(E$20,TECHOPTS_Cls3,0)),2)</f>
        <v>87894.79</v>
      </c>
      <c r="F55" s="668" cm="1">
        <f t="array" ref="F55">ROUND(INDEX(COST_Cls3,$A55-($A$24-1),MATCH(F$20,TECHOPTS_Cls3,0)),2)</f>
        <v>48137.82</v>
      </c>
      <c r="G55" s="669" cm="1">
        <f t="array" ref="G55">ROUND(INDEX(COST_Cls3,$A55-($A$24-1),MATCH(G$20,TECHOPTS_Cls3,0)),2)</f>
        <v>47794.66</v>
      </c>
      <c r="H55" s="628" cm="1">
        <f t="array" ref="H55">IF(H$21="Single-fuel",1,1-MIN(INDEX(CDRANGE_CLS3,$A55-($A$24-1),MATCH(H$20,TECHOPTS_Cls3,0))*OPDAYS_Cls3/$D$6,1))</f>
        <v>1</v>
      </c>
      <c r="I55" s="629" cm="1">
        <f t="array" ref="I55">IF(I$21="Single-fuel",1,1-MIN(INDEX(CDRANGE_CLS3,$A55-($A$24-1),MATCH(I$20,TECHOPTS_Cls3,0))*OPDAYS_Cls3/$D$6,1))</f>
        <v>1</v>
      </c>
      <c r="J55" s="629" cm="1">
        <f t="array" ref="J55">IF(J$21="Single-fuel",1,1-MIN(INDEX(CDRANGE_CLS3,$A55-($A$24-1),MATCH(J$20,TECHOPTS_Cls3,0))*OPDAYS_Cls3/$D$6,1))</f>
        <v>1</v>
      </c>
      <c r="K55" s="629" cm="1">
        <f t="array" ref="K55">IF(K$21="Single-fuel",1,1-MIN(INDEX(CDRANGE_CLS3,$A55-($A$24-1),MATCH(K$20,TECHOPTS_Cls3,0))*OPDAYS_Cls3/$D$6,1))</f>
        <v>1</v>
      </c>
      <c r="L55" s="629" cm="1">
        <f t="array" ref="L55">IF(L$21="Single-fuel",1,1-MIN(INDEX(CDRANGE_CLS3,$A55-($A$24-1),MATCH(L$20,TECHOPTS_Cls3,0))*OPDAYS_Cls3/$D$6,1))</f>
        <v>1</v>
      </c>
      <c r="M55" s="630" cm="1">
        <f t="array" ref="M55">IF(M$21="Single-fuel",1,1-MIN(INDEX(CDRANGE_CLS3,$A55-($A$24-1),MATCH(M$20,TECHOPTS_Cls3,0))*OPDAYS_Cls3/$D$6,1))</f>
        <v>0.85824356832538695</v>
      </c>
      <c r="N55" s="580"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148"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7762.2127375324189</v>
      </c>
      <c r="P55" s="148"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6049.9746287319967</v>
      </c>
      <c r="Q55" s="148"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6721.3064034971549</v>
      </c>
      <c r="R55" s="148"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5655.6326970206037</v>
      </c>
      <c r="S55" s="150"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5184.1245892361585</v>
      </c>
      <c r="T55" s="581">
        <f t="shared" si="30"/>
        <v>780.34971991045768</v>
      </c>
      <c r="U55" s="162">
        <f t="shared" si="31"/>
        <v>2492.5878287108799</v>
      </c>
      <c r="V55" s="162">
        <f t="shared" si="32"/>
        <v>1821.2560539457218</v>
      </c>
      <c r="W55" s="162">
        <f t="shared" si="33"/>
        <v>2886.9297604222729</v>
      </c>
      <c r="X55" s="163">
        <f t="shared" si="34"/>
        <v>3358.4378682067181</v>
      </c>
      <c r="Y55" s="151" cm="1">
        <f t="array" aca="1" ref="Y55" ca="1">IF(AND(Y$22=TRUE,INDEX(CDRANGE_CLS3,MATCH($A55,$A$24:$A$67,0),MATCH(Y$20,$B$20:$G$20,0))&lt;$D$6/OPDAYS_Cls3),86,payback(C55,T55,disc_rate/12,85))</f>
        <v>4</v>
      </c>
      <c r="Z55" s="152" cm="1">
        <f t="array" aca="1" ref="Z55" ca="1">IF(AND(Z$22=TRUE,INDEX(CDRANGE_CLS3,MATCH($A55,$A$24:$A$67,0),MATCH(Z$20,$B$20:$G$20,0))&lt;$D$6/OPDAYS_Cls3),86,payback(D55,U55,disc_rate/12,85))</f>
        <v>2</v>
      </c>
      <c r="AA55" s="152" cm="1">
        <f t="array" ref="AA55">IF(AND(AA$22=TRUE,INDEX(CDRANGE_CLS3,MATCH($A55,$A$24:$A$67,0),MATCH(AA$20,$B$20:$G$20,0))&lt;$D$6/OPDAYS_Cls3),86,payback(E55,V55,disc_rate/12,85))</f>
        <v>86</v>
      </c>
      <c r="AB55" s="152" cm="1">
        <f t="array" aca="1" ref="AB55" ca="1">IF(AND(AB$22=TRUE,INDEX(CDRANGE_CLS3,MATCH($A55,$A$24:$A$67,0),MATCH(AB$20,$B$20:$G$20,0))&lt;$D$6/OPDAYS_Cls3),86,payback(F55,W55,disc_rate/12,85))</f>
        <v>18</v>
      </c>
      <c r="AC55" s="153" cm="1">
        <f t="array" aca="1" ref="AC55" ca="1">IF(AND(AC$22=TRUE,INDEX(CDRANGE_CLS3,MATCH($A55,$A$24:$A$67,0),MATCH(AC$20,$B$20:$G$20,0))&lt;$D$6/OPDAYS_Cls3),86,payback(G55,X55,disc_rate/12,85))</f>
        <v>15</v>
      </c>
      <c r="AD55" s="168">
        <f t="shared" si="35"/>
        <v>0</v>
      </c>
      <c r="AE55" s="169">
        <f t="shared" si="36"/>
        <v>0</v>
      </c>
      <c r="AF55" s="169">
        <f t="shared" si="37"/>
        <v>0</v>
      </c>
      <c r="AG55" s="169">
        <f t="shared" si="38"/>
        <v>0</v>
      </c>
      <c r="AH55" s="170">
        <f t="shared" si="39"/>
        <v>0</v>
      </c>
      <c r="AI55" s="442" cm="1">
        <f t="array" ref="AI55">IF($A55&lt;AI$23,0,AI$21+VLOOKUP($A55-AI$23,SCdata,2,1)*(AI$22-AI$21))*IF($D$5="Non-Central",INDEX(fuel_avail,$A55-$A$24+1,MATCH(O$21,Fuels,0)),1)</f>
        <v>0.49993830271200684</v>
      </c>
      <c r="AJ55" s="172" cm="1">
        <f t="array" ref="AJ55">IF($A55&lt;AJ$23,0,AJ$21+VLOOKUP($A55-AJ$23,SCdata,2,1)*(AJ$22-AJ$21))*IF($D$5="Non-Central",INDEX(fuel_avail,$A55-$A$24+1,MATCH(P$21,Fuels,0)),1)</f>
        <v>0.49993830271200684</v>
      </c>
      <c r="AK55" s="172" cm="1">
        <f t="array" ref="AK55">IF($A55&lt;AK$23,0,AK$21+VLOOKUP($A55-AK$23,SCdata,2,1)*(AK$22-AK$21))*IF($D$5="Non-Central",INDEX(fuel_avail,$A55-$A$24+1,MATCH(Q$21,Fuels,0)),1)</f>
        <v>0.49993830271200684</v>
      </c>
      <c r="AL55" s="172" cm="1">
        <f t="array" ref="AL55">IF($A55&lt;AL$23,0,AL$21+VLOOKUP($A55-AL$23,SCdata,2,1)*(AL$22-AL$21))*IF($D$5="Non-Central",INDEX(fuel_avail,$A55-$A$24+1,MATCH(R$21,Fuels,0)),1)</f>
        <v>0.49993830271200684</v>
      </c>
      <c r="AM55" s="445" cm="1">
        <f t="array" ref="AM55">IF($A55&lt;AM$23,0,AM$21+VLOOKUP($A55-AM$23,SCdata,2,1)*(AM$22-AM$21))*IF($D$5="Non-Central",INDEX(fuel_avail,$A55-$A$24+1,MATCH(S$21,Fuels,0)),1)</f>
        <v>0.49993830271200684</v>
      </c>
      <c r="AN55" s="171">
        <f t="shared" si="52"/>
        <v>0.99699479707757654</v>
      </c>
      <c r="AO55" s="172">
        <f t="shared" si="52"/>
        <v>0.99101160195971505</v>
      </c>
      <c r="AP55" s="172">
        <f t="shared" si="52"/>
        <v>5.3549386967712276E-2</v>
      </c>
      <c r="AQ55" s="172">
        <f t="shared" si="52"/>
        <v>0.41561568394846593</v>
      </c>
      <c r="AR55" s="445">
        <f t="shared" si="52"/>
        <v>0.42083224706365296</v>
      </c>
      <c r="AS55" s="168">
        <f t="shared" ca="1" si="41"/>
        <v>0.99987660542401369</v>
      </c>
      <c r="AT55" s="169">
        <f t="shared" ca="1" si="42"/>
        <v>0.99987660542401369</v>
      </c>
      <c r="AU55" s="169">
        <f t="shared" si="43"/>
        <v>0</v>
      </c>
      <c r="AV55" s="169">
        <f t="shared" ca="1" si="44"/>
        <v>0.75028811646116034</v>
      </c>
      <c r="AW55" s="170">
        <f t="shared" ca="1" si="45"/>
        <v>0.84263122403997892</v>
      </c>
      <c r="AX55" s="168">
        <f t="shared" ca="1" si="46"/>
        <v>0.99687177332733057</v>
      </c>
      <c r="AY55" s="169">
        <f t="shared" ca="1" si="46"/>
        <v>0.9908893165032937</v>
      </c>
      <c r="AZ55" s="169">
        <f t="shared" si="46"/>
        <v>0</v>
      </c>
      <c r="BA55" s="169">
        <f t="shared" ca="1" si="46"/>
        <v>0.31183150868141141</v>
      </c>
      <c r="BB55" s="170">
        <f t="shared" ca="1" si="46"/>
        <v>0.35460639145874073</v>
      </c>
      <c r="BC55" s="168">
        <f t="shared" ca="1" si="53"/>
        <v>3.1282266726694319E-3</v>
      </c>
      <c r="BD55" s="169">
        <f t="shared" ca="1" si="47"/>
        <v>0.37440799887717474</v>
      </c>
      <c r="BE55" s="169">
        <f t="shared" ca="1" si="48"/>
        <v>0.37216109035013267</v>
      </c>
      <c r="BF55" s="169">
        <f t="shared" ca="1" si="49"/>
        <v>0</v>
      </c>
      <c r="BG55" s="169">
        <f t="shared" ca="1" si="50"/>
        <v>0.11711858463257048</v>
      </c>
      <c r="BH55" s="170">
        <f t="shared" ca="1" si="51"/>
        <v>0.13318409946745272</v>
      </c>
    </row>
    <row r="56" spans="1:60" x14ac:dyDescent="0.2">
      <c r="A56" s="189">
        <v>2039</v>
      </c>
      <c r="B56" s="667" cm="1">
        <f t="array" ref="B56">ROUND(INDEX(COST_Cls3,$A56-($A$24-1),MATCH(B$20,TECHOPTS_Cls3,0)),2)</f>
        <v>85637.7</v>
      </c>
      <c r="C56" s="668" cm="1">
        <f t="array" ref="C56">ROUND(INDEX(COST_Cls3,$A56-($A$24-1),MATCH(C$20,TECHOPTS_Cls3,0)),2)</f>
        <v>2758.86</v>
      </c>
      <c r="D56" s="668" cm="1">
        <f t="array" ref="D56">ROUND(INDEX(COST_Cls3,$A56-($A$24-1),MATCH(D$20,TECHOPTS_Cls3,0)),2)</f>
        <v>4549.88</v>
      </c>
      <c r="E56" s="668" cm="1">
        <f t="array" ref="E56">ROUND(INDEX(COST_Cls3,$A56-($A$24-1),MATCH(E$20,TECHOPTS_Cls3,0)),2)</f>
        <v>83030.36</v>
      </c>
      <c r="F56" s="668" cm="1">
        <f t="array" ref="F56">ROUND(INDEX(COST_Cls3,$A56-($A$24-1),MATCH(F$20,TECHOPTS_Cls3,0)),2)</f>
        <v>45957.81</v>
      </c>
      <c r="G56" s="669" cm="1">
        <f t="array" ref="G56">ROUND(INDEX(COST_Cls3,$A56-($A$24-1),MATCH(G$20,TECHOPTS_Cls3,0)),2)</f>
        <v>45805.95</v>
      </c>
      <c r="H56" s="628" cm="1">
        <f t="array" ref="H56">IF(H$21="Single-fuel",1,1-MIN(INDEX(CDRANGE_CLS3,$A56-($A$24-1),MATCH(H$20,TECHOPTS_Cls3,0))*OPDAYS_Cls3/$D$6,1))</f>
        <v>1</v>
      </c>
      <c r="I56" s="629" cm="1">
        <f t="array" ref="I56">IF(I$21="Single-fuel",1,1-MIN(INDEX(CDRANGE_CLS3,$A56-($A$24-1),MATCH(I$20,TECHOPTS_Cls3,0))*OPDAYS_Cls3/$D$6,1))</f>
        <v>1</v>
      </c>
      <c r="J56" s="629" cm="1">
        <f t="array" ref="J56">IF(J$21="Single-fuel",1,1-MIN(INDEX(CDRANGE_CLS3,$A56-($A$24-1),MATCH(J$20,TECHOPTS_Cls3,0))*OPDAYS_Cls3/$D$6,1))</f>
        <v>1</v>
      </c>
      <c r="K56" s="629" cm="1">
        <f t="array" ref="K56">IF(K$21="Single-fuel",1,1-MIN(INDEX(CDRANGE_CLS3,$A56-($A$24-1),MATCH(K$20,TECHOPTS_Cls3,0))*OPDAYS_Cls3/$D$6,1))</f>
        <v>1</v>
      </c>
      <c r="L56" s="629" cm="1">
        <f t="array" ref="L56">IF(L$21="Single-fuel",1,1-MIN(INDEX(CDRANGE_CLS3,$A56-($A$24-1),MATCH(L$20,TECHOPTS_Cls3,0))*OPDAYS_Cls3/$D$6,1))</f>
        <v>1</v>
      </c>
      <c r="M56" s="630" cm="1">
        <f t="array" ref="M56">IF(M$21="Single-fuel",1,1-MIN(INDEX(CDRANGE_CLS3,$A56-($A$24-1),MATCH(M$20,TECHOPTS_Cls3,0))*OPDAYS_Cls3/$D$6,1))</f>
        <v>0.85640154511893274</v>
      </c>
      <c r="N56" s="580"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148"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7732.1786931337665</v>
      </c>
      <c r="P56" s="148"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6017.9889025547245</v>
      </c>
      <c r="Q56" s="148"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6533.6044131609824</v>
      </c>
      <c r="R56" s="148"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5457.5989465754801</v>
      </c>
      <c r="S56" s="150"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5147.2121562220464</v>
      </c>
      <c r="T56" s="581">
        <f t="shared" si="30"/>
        <v>882.59452803540626</v>
      </c>
      <c r="U56" s="162">
        <f t="shared" si="31"/>
        <v>2596.7843186144482</v>
      </c>
      <c r="V56" s="162">
        <f t="shared" si="32"/>
        <v>2081.1688080081904</v>
      </c>
      <c r="W56" s="162">
        <f t="shared" si="33"/>
        <v>3157.1742745936926</v>
      </c>
      <c r="X56" s="163">
        <f t="shared" si="34"/>
        <v>3467.5610649471264</v>
      </c>
      <c r="Y56" s="151" cm="1">
        <f t="array" aca="1" ref="Y56" ca="1">IF(AND(Y$22=TRUE,INDEX(CDRANGE_CLS3,MATCH($A56,$A$24:$A$67,0),MATCH(Y$20,$B$20:$G$20,0))&lt;$D$6/OPDAYS_Cls3),86,payback(C56,T56,disc_rate/12,85))</f>
        <v>4</v>
      </c>
      <c r="Z56" s="152" cm="1">
        <f t="array" aca="1" ref="Z56" ca="1">IF(AND(Z$22=TRUE,INDEX(CDRANGE_CLS3,MATCH($A56,$A$24:$A$67,0),MATCH(Z$20,$B$20:$G$20,0))&lt;$D$6/OPDAYS_Cls3),86,payback(D56,U56,disc_rate/12,85))</f>
        <v>2</v>
      </c>
      <c r="AA56" s="152" cm="1">
        <f t="array" ref="AA56">IF(AND(AA$22=TRUE,INDEX(CDRANGE_CLS3,MATCH($A56,$A$24:$A$67,0),MATCH(AA$20,$B$20:$G$20,0))&lt;$D$6/OPDAYS_Cls3),86,payback(E56,V56,disc_rate/12,85))</f>
        <v>86</v>
      </c>
      <c r="AB56" s="152" cm="1">
        <f t="array" aca="1" ref="AB56" ca="1">IF(AND(AB$22=TRUE,INDEX(CDRANGE_CLS3,MATCH($A56,$A$24:$A$67,0),MATCH(AB$20,$B$20:$G$20,0))&lt;$D$6/OPDAYS_Cls3),86,payback(F56,W56,disc_rate/12,85))</f>
        <v>16</v>
      </c>
      <c r="AC56" s="153" cm="1">
        <f t="array" aca="1" ref="AC56" ca="1">IF(AND(AC$22=TRUE,INDEX(CDRANGE_CLS3,MATCH($A56,$A$24:$A$67,0),MATCH(AC$20,$B$20:$G$20,0))&lt;$D$6/OPDAYS_Cls3),86,payback(G56,X56,disc_rate/12,85))</f>
        <v>14</v>
      </c>
      <c r="AD56" s="168">
        <f t="shared" si="35"/>
        <v>0</v>
      </c>
      <c r="AE56" s="169">
        <f t="shared" si="36"/>
        <v>0</v>
      </c>
      <c r="AF56" s="169">
        <f t="shared" si="37"/>
        <v>0</v>
      </c>
      <c r="AG56" s="169">
        <f t="shared" si="38"/>
        <v>0</v>
      </c>
      <c r="AH56" s="170">
        <f t="shared" si="39"/>
        <v>0</v>
      </c>
      <c r="AI56" s="442" cm="1">
        <f t="array" ref="AI56">IF($A56&lt;AI$23,0,AI$21+VLOOKUP($A56-AI$23,SCdata,2,1)*(AI$22-AI$21))*IF($D$5="Non-Central",INDEX(fuel_avail,$A56-$A$24+1,MATCH(O$21,Fuels,0)),1)</f>
        <v>0.4999773010656488</v>
      </c>
      <c r="AJ56" s="172" cm="1">
        <f t="array" ref="AJ56">IF($A56&lt;AJ$23,0,AJ$21+VLOOKUP($A56-AJ$23,SCdata,2,1)*(AJ$22-AJ$21))*IF($D$5="Non-Central",INDEX(fuel_avail,$A56-$A$24+1,MATCH(P$21,Fuels,0)),1)</f>
        <v>0.4999773010656488</v>
      </c>
      <c r="AK56" s="172" cm="1">
        <f t="array" ref="AK56">IF($A56&lt;AK$23,0,AK$21+VLOOKUP($A56-AK$23,SCdata,2,1)*(AK$22-AK$21))*IF($D$5="Non-Central",INDEX(fuel_avail,$A56-$A$24+1,MATCH(Q$21,Fuels,0)),1)</f>
        <v>0.4999773010656488</v>
      </c>
      <c r="AL56" s="172" cm="1">
        <f t="array" ref="AL56">IF($A56&lt;AL$23,0,AL$21+VLOOKUP($A56-AL$23,SCdata,2,1)*(AL$22-AL$21))*IF($D$5="Non-Central",INDEX(fuel_avail,$A56-$A$24+1,MATCH(R$21,Fuels,0)),1)</f>
        <v>0.4999773010656488</v>
      </c>
      <c r="AM56" s="445" cm="1">
        <f t="array" ref="AM56">IF($A56&lt;AM$23,0,AM$21+VLOOKUP($A56-AM$23,SCdata,2,1)*(AM$22-AM$21))*IF($D$5="Non-Central",INDEX(fuel_avail,$A56-$A$24+1,MATCH(S$21,Fuels,0)),1)</f>
        <v>0.4999773010656488</v>
      </c>
      <c r="AN56" s="171">
        <f t="shared" si="52"/>
        <v>0.99712126972482451</v>
      </c>
      <c r="AO56" s="172">
        <f t="shared" si="52"/>
        <v>0.99218973316328463</v>
      </c>
      <c r="AP56" s="172">
        <f t="shared" si="52"/>
        <v>7.344581894571478E-2</v>
      </c>
      <c r="AQ56" s="172">
        <f t="shared" si="52"/>
        <v>0.44933213142637418</v>
      </c>
      <c r="AR56" s="445">
        <f t="shared" si="52"/>
        <v>0.45171004585562802</v>
      </c>
      <c r="AS56" s="168">
        <f t="shared" ca="1" si="41"/>
        <v>0.99995460213129761</v>
      </c>
      <c r="AT56" s="169">
        <f t="shared" ca="1" si="42"/>
        <v>0.99995460213129761</v>
      </c>
      <c r="AU56" s="169">
        <f t="shared" si="43"/>
        <v>0</v>
      </c>
      <c r="AV56" s="169">
        <f t="shared" ca="1" si="44"/>
        <v>0.81311854575190168</v>
      </c>
      <c r="AW56" s="170">
        <f t="shared" ca="1" si="45"/>
        <v>0.87069812399370061</v>
      </c>
      <c r="AX56" s="168">
        <f t="shared" ca="1" si="46"/>
        <v>0.99707600254434114</v>
      </c>
      <c r="AY56" s="169">
        <f t="shared" ca="1" si="46"/>
        <v>0.99214468986405058</v>
      </c>
      <c r="AZ56" s="169">
        <f t="shared" si="46"/>
        <v>0</v>
      </c>
      <c r="BA56" s="169">
        <f t="shared" ca="1" si="46"/>
        <v>0.36536028926501574</v>
      </c>
      <c r="BB56" s="170">
        <f t="shared" ca="1" si="46"/>
        <v>0.39330308951560378</v>
      </c>
      <c r="BC56" s="168">
        <f t="shared" ca="1" si="53"/>
        <v>2.9239974556587445E-3</v>
      </c>
      <c r="BD56" s="169">
        <f t="shared" ca="1" si="47"/>
        <v>0.36179130163217882</v>
      </c>
      <c r="BE56" s="169">
        <f t="shared" ca="1" si="48"/>
        <v>0.36000196357890613</v>
      </c>
      <c r="BF56" s="169">
        <f t="shared" ca="1" si="49"/>
        <v>0</v>
      </c>
      <c r="BG56" s="169">
        <f t="shared" ca="1" si="50"/>
        <v>0.13257181426550382</v>
      </c>
      <c r="BH56" s="170">
        <f t="shared" ca="1" si="51"/>
        <v>0.14271092306775246</v>
      </c>
    </row>
    <row r="57" spans="1:60" ht="13.5" thickBot="1" x14ac:dyDescent="0.25">
      <c r="A57" s="465">
        <v>2040</v>
      </c>
      <c r="B57" s="661" cm="1">
        <f t="array" ref="B57">ROUND(INDEX(COST_Cls3,$A57-($A$24-1),MATCH(B$20,TECHOPTS_Cls3,0)),2)</f>
        <v>85657.47</v>
      </c>
      <c r="C57" s="662" cm="1">
        <f t="array" ref="C57">ROUND(INDEX(COST_Cls3,$A57-($A$24-1),MATCH(C$20,TECHOPTS_Cls3,0)),2)</f>
        <v>2683.19</v>
      </c>
      <c r="D57" s="662" cm="1">
        <f t="array" ref="D57">ROUND(INDEX(COST_Cls3,$A57-($A$24-1),MATCH(D$20,TECHOPTS_Cls3,0)),2)</f>
        <v>4128.33</v>
      </c>
      <c r="E57" s="662" cm="1">
        <f t="array" ref="E57">ROUND(INDEX(COST_Cls3,$A57-($A$24-1),MATCH(E$20,TECHOPTS_Cls3,0)),2)</f>
        <v>76848.22</v>
      </c>
      <c r="F57" s="662" cm="1">
        <f t="array" ref="F57">ROUND(INDEX(COST_Cls3,$A57-($A$24-1),MATCH(F$20,TECHOPTS_Cls3,0)),2)</f>
        <v>43187.27</v>
      </c>
      <c r="G57" s="663" cm="1">
        <f t="array" ref="G57">ROUND(INDEX(COST_Cls3,$A57-($A$24-1),MATCH(G$20,TECHOPTS_Cls3,0)),2)</f>
        <v>43278.51</v>
      </c>
      <c r="H57" s="628" cm="1">
        <f t="array" ref="H57">IF(H$21="Single-fuel",1,1-MIN(INDEX(CDRANGE_CLS3,$A57-($A$24-1),MATCH(H$20,TECHOPTS_Cls3,0))*OPDAYS_Cls3/$D$6,1))</f>
        <v>1</v>
      </c>
      <c r="I57" s="629" cm="1">
        <f t="array" ref="I57">IF(I$21="Single-fuel",1,1-MIN(INDEX(CDRANGE_CLS3,$A57-($A$24-1),MATCH(I$20,TECHOPTS_Cls3,0))*OPDAYS_Cls3/$D$6,1))</f>
        <v>1</v>
      </c>
      <c r="J57" s="629" cm="1">
        <f t="array" ref="J57">IF(J$21="Single-fuel",1,1-MIN(INDEX(CDRANGE_CLS3,$A57-($A$24-1),MATCH(J$20,TECHOPTS_Cls3,0))*OPDAYS_Cls3/$D$6,1))</f>
        <v>1</v>
      </c>
      <c r="K57" s="629" cm="1">
        <f t="array" ref="K57">IF(K$21="Single-fuel",1,1-MIN(INDEX(CDRANGE_CLS3,$A57-($A$24-1),MATCH(K$20,TECHOPTS_Cls3,0))*OPDAYS_Cls3/$D$6,1))</f>
        <v>1</v>
      </c>
      <c r="L57" s="629" cm="1">
        <f t="array" ref="L57">IF(L$21="Single-fuel",1,1-MIN(INDEX(CDRANGE_CLS3,$A57-($A$24-1),MATCH(L$20,TECHOPTS_Cls3,0))*OPDAYS_Cls3/$D$6,1))</f>
        <v>1</v>
      </c>
      <c r="M57" s="630" cm="1">
        <f t="array" ref="M57">IF(M$21="Single-fuel",1,1-MIN(INDEX(CDRANGE_CLS3,$A57-($A$24-1),MATCH(M$20,TECHOPTS_Cls3,0))*OPDAYS_Cls3/$D$6,1))</f>
        <v>0.8540605398030725</v>
      </c>
      <c r="N57" s="729"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623"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7612.9905119278528</v>
      </c>
      <c r="P57" s="623"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5914.8216907798887</v>
      </c>
      <c r="Q57" s="623"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6243.117448516271</v>
      </c>
      <c r="R57" s="623"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5246.1620791509959</v>
      </c>
      <c r="S57" s="624"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5047.5761612648103</v>
      </c>
      <c r="T57" s="582">
        <f t="shared" si="30"/>
        <v>1000.6018024748382</v>
      </c>
      <c r="U57" s="466">
        <f t="shared" si="31"/>
        <v>2698.7706236228023</v>
      </c>
      <c r="V57" s="466">
        <f t="shared" si="32"/>
        <v>2370.47486588642</v>
      </c>
      <c r="W57" s="466">
        <f t="shared" si="33"/>
        <v>3367.4302352516952</v>
      </c>
      <c r="X57" s="467">
        <f t="shared" si="34"/>
        <v>3566.0161531378808</v>
      </c>
      <c r="Y57" s="570" cm="1">
        <f t="array" aca="1" ref="Y57" ca="1">IF(AND(Y$22=TRUE,INDEX(CDRANGE_CLS3,MATCH($A57,$A$24:$A$67,0),MATCH(Y$20,$B$20:$G$20,0))&lt;$D$6/OPDAYS_Cls3),86,payback(C57,T57,disc_rate/12,85))</f>
        <v>3</v>
      </c>
      <c r="Z57" s="571" cm="1">
        <f t="array" aca="1" ref="Z57" ca="1">IF(AND(Z$22=TRUE,INDEX(CDRANGE_CLS3,MATCH($A57,$A$24:$A$67,0),MATCH(Z$20,$B$20:$G$20,0))&lt;$D$6/OPDAYS_Cls3),86,payback(D57,U57,disc_rate/12,85))</f>
        <v>2</v>
      </c>
      <c r="AA57" s="571" cm="1">
        <f t="array" ref="AA57">IF(AND(AA$22=TRUE,INDEX(CDRANGE_CLS3,MATCH($A57,$A$24:$A$67,0),MATCH(AA$20,$B$20:$G$20,0))&lt;$D$6/OPDAYS_Cls3),86,payback(E57,V57,disc_rate/12,85))</f>
        <v>86</v>
      </c>
      <c r="AB57" s="571" cm="1">
        <f t="array" aca="1" ref="AB57" ca="1">IF(AND(AB$22=TRUE,INDEX(CDRANGE_CLS3,MATCH($A57,$A$24:$A$67,0),MATCH(AB$20,$B$20:$G$20,0))&lt;$D$6/OPDAYS_Cls3),86,payback(F57,W57,disc_rate/12,85))</f>
        <v>14</v>
      </c>
      <c r="AC57" s="738" cm="1">
        <f t="array" aca="1" ref="AC57" ca="1">IF(AND(AC$22=TRUE,INDEX(CDRANGE_CLS3,MATCH($A57,$A$24:$A$67,0),MATCH(AC$20,$B$20:$G$20,0))&lt;$D$6/OPDAYS_Cls3),86,payback(G57,X57,disc_rate/12,85))</f>
        <v>13</v>
      </c>
      <c r="AD57" s="471">
        <f t="shared" si="35"/>
        <v>0</v>
      </c>
      <c r="AE57" s="472">
        <f t="shared" si="36"/>
        <v>0</v>
      </c>
      <c r="AF57" s="472">
        <f t="shared" si="37"/>
        <v>0</v>
      </c>
      <c r="AG57" s="472">
        <f t="shared" si="38"/>
        <v>0</v>
      </c>
      <c r="AH57" s="473">
        <f t="shared" si="39"/>
        <v>0</v>
      </c>
      <c r="AI57" s="474" cm="1">
        <f t="array" ref="AI57">IF($A57&lt;AI$23,0,AI$21+VLOOKUP($A57-AI$23,SCdata,2,1)*(AI$22-AI$21))*IF($D$5="Non-Central",INDEX(fuel_avail,$A57-$A$24+1,MATCH(O$21,Fuels,0)),1)</f>
        <v>0.49999164928907602</v>
      </c>
      <c r="AJ57" s="475" cm="1">
        <f t="array" ref="AJ57">IF($A57&lt;AJ$23,0,AJ$21+VLOOKUP($A57-AJ$23,SCdata,2,1)*(AJ$22-AJ$21))*IF($D$5="Non-Central",INDEX(fuel_avail,$A57-$A$24+1,MATCH(P$21,Fuels,0)),1)</f>
        <v>0.49999164928907602</v>
      </c>
      <c r="AK57" s="475" cm="1">
        <f t="array" ref="AK57">IF($A57&lt;AK$23,0,AK$21+VLOOKUP($A57-AK$23,SCdata,2,1)*(AK$22-AK$21))*IF($D$5="Non-Central",INDEX(fuel_avail,$A57-$A$24+1,MATCH(Q$21,Fuels,0)),1)</f>
        <v>0.49999164928907602</v>
      </c>
      <c r="AL57" s="475" cm="1">
        <f t="array" ref="AL57">IF($A57&lt;AL$23,0,AL$21+VLOOKUP($A57-AL$23,SCdata,2,1)*(AL$22-AL$21))*IF($D$5="Non-Central",INDEX(fuel_avail,$A57-$A$24+1,MATCH(R$21,Fuels,0)),1)</f>
        <v>0.49999164928907602</v>
      </c>
      <c r="AM57" s="476" cm="1">
        <f t="array" ref="AM57">IF($A57&lt;AM$23,0,AM$21+VLOOKUP($A57-AM$23,SCdata,2,1)*(AM$22-AM$21))*IF($D$5="Non-Central",INDEX(fuel_avail,$A57-$A$24+1,MATCH(S$21,Fuels,0)),1)</f>
        <v>0.49999164928907602</v>
      </c>
      <c r="AN57" s="477">
        <f t="shared" si="52"/>
        <v>0.99727806259128671</v>
      </c>
      <c r="AO57" s="475">
        <f t="shared" si="52"/>
        <v>0.99356845259879056</v>
      </c>
      <c r="AP57" s="475">
        <f t="shared" si="52"/>
        <v>0.10690564193690522</v>
      </c>
      <c r="AQ57" s="475">
        <f t="shared" si="52"/>
        <v>0.49355547866678384</v>
      </c>
      <c r="AR57" s="476">
        <f t="shared" si="52"/>
        <v>0.49208355892152933</v>
      </c>
      <c r="AS57" s="471">
        <f t="shared" ca="1" si="41"/>
        <v>0.99998329857815205</v>
      </c>
      <c r="AT57" s="472">
        <f t="shared" ca="1" si="42"/>
        <v>0.99998329857815205</v>
      </c>
      <c r="AU57" s="472">
        <f t="shared" si="43"/>
        <v>0</v>
      </c>
      <c r="AV57" s="472">
        <f t="shared" ca="1" si="44"/>
        <v>0.87072311107050204</v>
      </c>
      <c r="AW57" s="473">
        <f t="shared" ca="1" si="45"/>
        <v>0.89685719520903584</v>
      </c>
      <c r="AX57" s="471">
        <f t="shared" ca="1" si="46"/>
        <v>0.99726140662966367</v>
      </c>
      <c r="AY57" s="472">
        <f t="shared" ca="1" si="46"/>
        <v>0.99355185859292894</v>
      </c>
      <c r="AZ57" s="472">
        <f t="shared" si="46"/>
        <v>0</v>
      </c>
      <c r="BA57" s="472">
        <f t="shared" ca="1" si="46"/>
        <v>0.42975016187063281</v>
      </c>
      <c r="BB57" s="473">
        <f t="shared" ca="1" si="46"/>
        <v>0.44132868046284313</v>
      </c>
      <c r="BC57" s="471">
        <f t="shared" ca="1" si="53"/>
        <v>2.7385933703363285E-3</v>
      </c>
      <c r="BD57" s="472">
        <f t="shared" ca="1" si="47"/>
        <v>0.34750796877603507</v>
      </c>
      <c r="BE57" s="472">
        <f t="shared" ca="1" si="48"/>
        <v>0.34621533126419202</v>
      </c>
      <c r="BF57" s="472">
        <f t="shared" ca="1" si="49"/>
        <v>0</v>
      </c>
      <c r="BG57" s="472">
        <f t="shared" ca="1" si="50"/>
        <v>0.14975171488642031</v>
      </c>
      <c r="BH57" s="473">
        <f t="shared" ca="1" si="51"/>
        <v>0.15378639170301628</v>
      </c>
    </row>
    <row r="58" spans="1:60" x14ac:dyDescent="0.2">
      <c r="A58" s="190">
        <v>2041</v>
      </c>
      <c r="B58" s="664" cm="1">
        <f t="array" ref="B58">ROUND(INDEX(COST_Cls3,$A58-($A$24-1),MATCH(B$20,TECHOPTS_Cls3,0)),2)</f>
        <v>85681.32</v>
      </c>
      <c r="C58" s="665" cm="1">
        <f t="array" ref="C58">ROUND(INDEX(COST_Cls3,$A58-($A$24-1),MATCH(C$20,TECHOPTS_Cls3,0)),2)</f>
        <v>2592.3200000000002</v>
      </c>
      <c r="D58" s="665" cm="1">
        <f t="array" ref="D58">ROUND(INDEX(COST_Cls3,$A58-($A$24-1),MATCH(D$20,TECHOPTS_Cls3,0)),2)</f>
        <v>3622.15</v>
      </c>
      <c r="E58" s="665" cm="1">
        <f t="array" ref="E58">ROUND(INDEX(COST_Cls3,$A58-($A$24-1),MATCH(E$20,TECHOPTS_Cls3,0)),2)</f>
        <v>69425.14</v>
      </c>
      <c r="F58" s="665" cm="1">
        <f t="array" ref="F58">ROUND(INDEX(COST_Cls3,$A58-($A$24-1),MATCH(F$20,TECHOPTS_Cls3,0)),2)</f>
        <v>39860.589999999997</v>
      </c>
      <c r="G58" s="666" cm="1">
        <f t="array" ref="G58">ROUND(INDEX(COST_Cls3,$A58-($A$24-1),MATCH(G$20,TECHOPTS_Cls3,0)),2)</f>
        <v>40243.74</v>
      </c>
      <c r="H58" s="628" cm="1">
        <f t="array" ref="H58">IF(H$21="Single-fuel",1,1-MIN(INDEX(CDRANGE_CLS3,$A58-($A$24-1),MATCH(H$20,TECHOPTS_Cls3,0))*OPDAYS_Cls3/$D$6,1))</f>
        <v>1</v>
      </c>
      <c r="I58" s="629" cm="1">
        <f t="array" ref="I58">IF(I$21="Single-fuel",1,1-MIN(INDEX(CDRANGE_CLS3,$A58-($A$24-1),MATCH(I$20,TECHOPTS_Cls3,0))*OPDAYS_Cls3/$D$6,1))</f>
        <v>1</v>
      </c>
      <c r="J58" s="629" cm="1">
        <f t="array" ref="J58">IF(J$21="Single-fuel",1,1-MIN(INDEX(CDRANGE_CLS3,$A58-($A$24-1),MATCH(J$20,TECHOPTS_Cls3,0))*OPDAYS_Cls3/$D$6,1))</f>
        <v>1</v>
      </c>
      <c r="K58" s="629" cm="1">
        <f t="array" ref="K58">IF(K$21="Single-fuel",1,1-MIN(INDEX(CDRANGE_CLS3,$A58-($A$24-1),MATCH(K$20,TECHOPTS_Cls3,0))*OPDAYS_Cls3/$D$6,1))</f>
        <v>1</v>
      </c>
      <c r="L58" s="629" cm="1">
        <f t="array" ref="L58">IF(L$21="Single-fuel",1,1-MIN(INDEX(CDRANGE_CLS3,$A58-($A$24-1),MATCH(L$20,TECHOPTS_Cls3,0))*OPDAYS_Cls3/$D$6,1))</f>
        <v>1</v>
      </c>
      <c r="M58" s="630" cm="1">
        <f t="array" ref="M58">IF(M$21="Single-fuel",1,1-MIN(INDEX(CDRANGE_CLS3,$A58-($A$24-1),MATCH(M$20,TECHOPTS_Cls3,0))*OPDAYS_Cls3/$D$6,1))</f>
        <v>0.85124962518089986</v>
      </c>
      <c r="N58" s="583"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479"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7522.0478663688273</v>
      </c>
      <c r="P58" s="479"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5832.2808413994635</v>
      </c>
      <c r="Q58" s="479"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5837.2916250059507</v>
      </c>
      <c r="R58" s="479"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5025.1825585522711</v>
      </c>
      <c r="S58" s="592"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4947.139133537471</v>
      </c>
      <c r="T58" s="583">
        <f t="shared" si="30"/>
        <v>1144.7199259676172</v>
      </c>
      <c r="U58" s="479">
        <f t="shared" si="31"/>
        <v>2834.486950936981</v>
      </c>
      <c r="V58" s="479">
        <f t="shared" si="32"/>
        <v>2829.4761673304938</v>
      </c>
      <c r="W58" s="479">
        <f t="shared" si="33"/>
        <v>3641.5852337841734</v>
      </c>
      <c r="X58" s="480">
        <f t="shared" si="34"/>
        <v>3719.6286587989734</v>
      </c>
      <c r="Y58" s="481" cm="1">
        <f t="array" aca="1" ref="Y58" ca="1">IF(AND(Y$22=TRUE,INDEX(CDRANGE_CLS3,MATCH($A58,$A$24:$A$67,0),MATCH(Y$20,$B$20:$G$20,0))&lt;$D$6/OPDAYS_Cls3),86,payback(C58,T58,disc_rate/12,85))</f>
        <v>3</v>
      </c>
      <c r="Z58" s="482" cm="1">
        <f t="array" aca="1" ref="Z58" ca="1">IF(AND(Z$22=TRUE,INDEX(CDRANGE_CLS3,MATCH($A58,$A$24:$A$67,0),MATCH(Z$20,$B$20:$G$20,0))&lt;$D$6/OPDAYS_Cls3),86,payback(D58,U58,disc_rate/12,85))</f>
        <v>2</v>
      </c>
      <c r="AA58" s="482" cm="1">
        <f t="array" ref="AA58">IF(AND(AA$22=TRUE,INDEX(CDRANGE_CLS3,MATCH($A58,$A$24:$A$67,0),MATCH(AA$20,$B$20:$G$20,0))&lt;$D$6/OPDAYS_Cls3),86,payback(E58,V58,disc_rate/12,85))</f>
        <v>86</v>
      </c>
      <c r="AB58" s="482" cm="1">
        <f t="array" aca="1" ref="AB58" ca="1">IF(AND(AB$22=TRUE,INDEX(CDRANGE_CLS3,MATCH($A58,$A$24:$A$67,0),MATCH(AB$20,$B$20:$G$20,0))&lt;$D$6/OPDAYS_Cls3),86,payback(F58,W58,disc_rate/12,85))</f>
        <v>12</v>
      </c>
      <c r="AC58" s="739" cm="1">
        <f t="array" aca="1" ref="AC58" ca="1">IF(AND(AC$22=TRUE,INDEX(CDRANGE_CLS3,MATCH($A58,$A$24:$A$67,0),MATCH(AC$20,$B$20:$G$20,0))&lt;$D$6/OPDAYS_Cls3),86,payback(G58,X58,disc_rate/12,85))</f>
        <v>12</v>
      </c>
      <c r="AD58" s="484">
        <f t="shared" si="35"/>
        <v>0</v>
      </c>
      <c r="AE58" s="485">
        <f t="shared" si="36"/>
        <v>0</v>
      </c>
      <c r="AF58" s="485">
        <f t="shared" si="37"/>
        <v>0</v>
      </c>
      <c r="AG58" s="485">
        <f t="shared" si="38"/>
        <v>0</v>
      </c>
      <c r="AH58" s="486">
        <f t="shared" si="39"/>
        <v>0</v>
      </c>
      <c r="AI58" s="487" cm="1">
        <f t="array" ref="AI58">IF($A58&lt;AI$23,0,AI$21+VLOOKUP($A58-AI$23,SCdata,2,1)*(AI$22-AI$21))*IF($D$5="Non-Central",INDEX(fuel_avail,$A58-$A$24+1,MATCH(O$21,Fuels,0)),1)</f>
        <v>0.4999969279126989</v>
      </c>
      <c r="AJ58" s="488" cm="1">
        <f t="array" ref="AJ58">IF($A58&lt;AJ$23,0,AJ$21+VLOOKUP($A58-AJ$23,SCdata,2,1)*(AJ$22-AJ$21))*IF($D$5="Non-Central",INDEX(fuel_avail,$A58-$A$24+1,MATCH(P$21,Fuels,0)),1)</f>
        <v>0.4999969279126989</v>
      </c>
      <c r="AK58" s="488" cm="1">
        <f t="array" ref="AK58">IF($A58&lt;AK$23,0,AK$21+VLOOKUP($A58-AK$23,SCdata,2,1)*(AK$22-AK$21))*IF($D$5="Non-Central",INDEX(fuel_avail,$A58-$A$24+1,MATCH(Q$21,Fuels,0)),1)</f>
        <v>0.4999969279126989</v>
      </c>
      <c r="AL58" s="488" cm="1">
        <f t="array" ref="AL58">IF($A58&lt;AL$23,0,AL$21+VLOOKUP($A58-AL$23,SCdata,2,1)*(AL$22-AL$21))*IF($D$5="Non-Central",INDEX(fuel_avail,$A58-$A$24+1,MATCH(R$21,Fuels,0)),1)</f>
        <v>0.4999969279126989</v>
      </c>
      <c r="AM58" s="489" cm="1">
        <f t="array" ref="AM58">IF($A58&lt;AM$23,0,AM$21+VLOOKUP($A58-AM$23,SCdata,2,1)*(AM$22-AM$21))*IF($D$5="Non-Central",INDEX(fuel_avail,$A58-$A$24+1,MATCH(S$21,Fuels,0)),1)</f>
        <v>0.4999969279126989</v>
      </c>
      <c r="AN58" s="490">
        <f t="shared" si="52"/>
        <v>0.99746048729171155</v>
      </c>
      <c r="AO58" s="488">
        <f t="shared" si="52"/>
        <v>0.99504800124928072</v>
      </c>
      <c r="AP58" s="488">
        <f t="shared" si="52"/>
        <v>0.16142374872117304</v>
      </c>
      <c r="AQ58" s="488">
        <f t="shared" si="52"/>
        <v>0.54815825626141623</v>
      </c>
      <c r="AR58" s="489">
        <f t="shared" si="52"/>
        <v>0.54182923344891654</v>
      </c>
      <c r="AS58" s="484">
        <f t="shared" ca="1" si="41"/>
        <v>0.99999385582539779</v>
      </c>
      <c r="AT58" s="485">
        <f t="shared" ca="1" si="42"/>
        <v>0.99999385582539779</v>
      </c>
      <c r="AU58" s="485">
        <f t="shared" si="43"/>
        <v>0</v>
      </c>
      <c r="AV58" s="485">
        <f t="shared" ca="1" si="44"/>
        <v>0.92083410057885096</v>
      </c>
      <c r="AW58" s="486">
        <f t="shared" ca="1" si="45"/>
        <v>0.92083410057885096</v>
      </c>
      <c r="AX58" s="484">
        <f t="shared" ca="1" si="46"/>
        <v>0.99745435872031885</v>
      </c>
      <c r="AY58" s="485">
        <f t="shared" ca="1" si="46"/>
        <v>0.9950418875006235</v>
      </c>
      <c r="AZ58" s="485">
        <f t="shared" si="46"/>
        <v>0</v>
      </c>
      <c r="BA58" s="485">
        <f t="shared" ca="1" si="46"/>
        <v>0.50476281487935248</v>
      </c>
      <c r="BB58" s="486">
        <f t="shared" ca="1" si="46"/>
        <v>0.4989348348502613</v>
      </c>
      <c r="BC58" s="484">
        <f t="shared" ca="1" si="53"/>
        <v>2.5456412796811545E-3</v>
      </c>
      <c r="BD58" s="485">
        <f t="shared" ca="1" si="47"/>
        <v>0.33205968381245937</v>
      </c>
      <c r="BE58" s="485">
        <f t="shared" ca="1" si="48"/>
        <v>0.33125655490393829</v>
      </c>
      <c r="BF58" s="485">
        <f t="shared" ca="1" si="49"/>
        <v>0</v>
      </c>
      <c r="BG58" s="485">
        <f t="shared" ca="1" si="50"/>
        <v>0.16803914810113343</v>
      </c>
      <c r="BH58" s="486">
        <f t="shared" ca="1" si="51"/>
        <v>0.16609897190278777</v>
      </c>
    </row>
    <row r="59" spans="1:60" x14ac:dyDescent="0.2">
      <c r="A59" s="189">
        <v>2042</v>
      </c>
      <c r="B59" s="667" cm="1">
        <f t="array" ref="B59">ROUND(INDEX(COST_Cls3,$A59-($A$24-1),MATCH(B$20,TECHOPTS_Cls3,0)),2)</f>
        <v>85709.96</v>
      </c>
      <c r="C59" s="668" cm="1">
        <f t="array" ref="C59">ROUND(INDEX(COST_Cls3,$A59-($A$24-1),MATCH(C$20,TECHOPTS_Cls3,0)),2)</f>
        <v>2490.37</v>
      </c>
      <c r="D59" s="668" cm="1">
        <f t="array" ref="D59">ROUND(INDEX(COST_Cls3,$A59-($A$24-1),MATCH(D$20,TECHOPTS_Cls3,0)),2)</f>
        <v>3054.21</v>
      </c>
      <c r="E59" s="668" cm="1">
        <f t="array" ref="E59">ROUND(INDEX(COST_Cls3,$A59-($A$24-1),MATCH(E$20,TECHOPTS_Cls3,0)),2)</f>
        <v>61096.36</v>
      </c>
      <c r="F59" s="668" cm="1">
        <f t="array" ref="F59">ROUND(INDEX(COST_Cls3,$A59-($A$24-1),MATCH(F$20,TECHOPTS_Cls3,0)),2)</f>
        <v>36128.03</v>
      </c>
      <c r="G59" s="669" cm="1">
        <f t="array" ref="G59">ROUND(INDEX(COST_Cls3,$A59-($A$24-1),MATCH(G$20,TECHOPTS_Cls3,0)),2)</f>
        <v>36838.69</v>
      </c>
      <c r="H59" s="628" cm="1">
        <f t="array" ref="H59">IF(H$21="Single-fuel",1,1-MIN(INDEX(CDRANGE_CLS3,$A59-($A$24-1),MATCH(H$20,TECHOPTS_Cls3,0))*OPDAYS_Cls3/$D$6,1))</f>
        <v>1</v>
      </c>
      <c r="I59" s="629" cm="1">
        <f t="array" ref="I59">IF(I$21="Single-fuel",1,1-MIN(INDEX(CDRANGE_CLS3,$A59-($A$24-1),MATCH(I$20,TECHOPTS_Cls3,0))*OPDAYS_Cls3/$D$6,1))</f>
        <v>1</v>
      </c>
      <c r="J59" s="629" cm="1">
        <f t="array" ref="J59">IF(J$21="Single-fuel",1,1-MIN(INDEX(CDRANGE_CLS3,$A59-($A$24-1),MATCH(J$20,TECHOPTS_Cls3,0))*OPDAYS_Cls3/$D$6,1))</f>
        <v>1</v>
      </c>
      <c r="K59" s="629" cm="1">
        <f t="array" ref="K59">IF(K$21="Single-fuel",1,1-MIN(INDEX(CDRANGE_CLS3,$A59-($A$24-1),MATCH(K$20,TECHOPTS_Cls3,0))*OPDAYS_Cls3/$D$6,1))</f>
        <v>1</v>
      </c>
      <c r="L59" s="629" cm="1">
        <f t="array" ref="L59">IF(L$21="Single-fuel",1,1-MIN(INDEX(CDRANGE_CLS3,$A59-($A$24-1),MATCH(L$20,TECHOPTS_Cls3,0))*OPDAYS_Cls3/$D$6,1))</f>
        <v>1</v>
      </c>
      <c r="M59" s="630" cm="1">
        <f t="array" ref="M59">IF(M$21="Single-fuel",1,1-MIN(INDEX(CDRANGE_CLS3,$A59-($A$24-1),MATCH(M$20,TECHOPTS_Cls3,0))*OPDAYS_Cls3/$D$6,1))</f>
        <v>0.84809574740139593</v>
      </c>
      <c r="N59" s="580"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148"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7479.1665101215094</v>
      </c>
      <c r="P59" s="148"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5786.3306375854709</v>
      </c>
      <c r="Q59" s="148"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5317.8838221171936</v>
      </c>
      <c r="R59" s="148"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4801.4518736735308</v>
      </c>
      <c r="S59" s="150"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4855.0539236923414</v>
      </c>
      <c r="T59" s="581">
        <f t="shared" si="30"/>
        <v>1312.0777308276574</v>
      </c>
      <c r="U59" s="162">
        <f t="shared" si="31"/>
        <v>3004.913603363696</v>
      </c>
      <c r="V59" s="162">
        <f t="shared" si="32"/>
        <v>3473.3604188319732</v>
      </c>
      <c r="W59" s="162">
        <f t="shared" si="33"/>
        <v>3989.792367275636</v>
      </c>
      <c r="X59" s="163">
        <f t="shared" si="34"/>
        <v>3936.1903172568254</v>
      </c>
      <c r="Y59" s="151" cm="1">
        <f t="array" aca="1" ref="Y59" ca="1">IF(AND(Y$22=TRUE,INDEX(CDRANGE_CLS3,MATCH($A59,$A$24:$A$67,0),MATCH(Y$20,$B$20:$G$20,0))&lt;$D$6/OPDAYS_Cls3),86,payback(C59,T59,disc_rate/12,85))</f>
        <v>2</v>
      </c>
      <c r="Z59" s="152" cm="1">
        <f t="array" aca="1" ref="Z59" ca="1">IF(AND(Z$22=TRUE,INDEX(CDRANGE_CLS3,MATCH($A59,$A$24:$A$67,0),MATCH(Z$20,$B$20:$G$20,0))&lt;$D$6/OPDAYS_Cls3),86,payback(D59,U59,disc_rate/12,85))</f>
        <v>2</v>
      </c>
      <c r="AA59" s="152" cm="1">
        <f t="array" ref="AA59">IF(AND(AA$22=TRUE,INDEX(CDRANGE_CLS3,MATCH($A59,$A$24:$A$67,0),MATCH(AA$20,$B$20:$G$20,0))&lt;$D$6/OPDAYS_Cls3),86,payback(E59,V59,disc_rate/12,85))</f>
        <v>86</v>
      </c>
      <c r="AB59" s="152" cm="1">
        <f t="array" aca="1" ref="AB59" ca="1">IF(AND(AB$22=TRUE,INDEX(CDRANGE_CLS3,MATCH($A59,$A$24:$A$67,0),MATCH(AB$20,$B$20:$G$20,0))&lt;$D$6/OPDAYS_Cls3),86,payback(F59,W59,disc_rate/12,85))</f>
        <v>10</v>
      </c>
      <c r="AC59" s="153" cm="1">
        <f t="array" aca="1" ref="AC59" ca="1">IF(AND(AC$22=TRUE,INDEX(CDRANGE_CLS3,MATCH($A59,$A$24:$A$67,0),MATCH(AC$20,$B$20:$G$20,0))&lt;$D$6/OPDAYS_Cls3),86,payback(G59,X59,disc_rate/12,85))</f>
        <v>10</v>
      </c>
      <c r="AD59" s="168">
        <f t="shared" si="35"/>
        <v>0</v>
      </c>
      <c r="AE59" s="169">
        <f t="shared" si="36"/>
        <v>0</v>
      </c>
      <c r="AF59" s="169">
        <f t="shared" si="37"/>
        <v>0</v>
      </c>
      <c r="AG59" s="169">
        <f t="shared" si="38"/>
        <v>0</v>
      </c>
      <c r="AH59" s="170">
        <f t="shared" si="39"/>
        <v>0</v>
      </c>
      <c r="AI59" s="442" cm="1">
        <f t="array" ref="AI59">IF($A59&lt;AI$23,0,AI$21+VLOOKUP($A59-AI$23,SCdata,2,1)*(AI$22-AI$21))*IF($D$5="Non-Central",INDEX(fuel_avail,$A59-$A$24+1,MATCH(O$21,Fuels,0)),1)</f>
        <v>0.49999886983785102</v>
      </c>
      <c r="AJ59" s="172" cm="1">
        <f t="array" ref="AJ59">IF($A59&lt;AJ$23,0,AJ$21+VLOOKUP($A59-AJ$23,SCdata,2,1)*(AJ$22-AJ$21))*IF($D$5="Non-Central",INDEX(fuel_avail,$A59-$A$24+1,MATCH(P$21,Fuels,0)),1)</f>
        <v>0.49999886983785102</v>
      </c>
      <c r="AK59" s="172" cm="1">
        <f t="array" ref="AK59">IF($A59&lt;AK$23,0,AK$21+VLOOKUP($A59-AK$23,SCdata,2,1)*(AK$22-AK$21))*IF($D$5="Non-Central",INDEX(fuel_avail,$A59-$A$24+1,MATCH(Q$21,Fuels,0)),1)</f>
        <v>0.49999886983785102</v>
      </c>
      <c r="AL59" s="172" cm="1">
        <f t="array" ref="AL59">IF($A59&lt;AL$23,0,AL$21+VLOOKUP($A59-AL$23,SCdata,2,1)*(AL$22-AL$21))*IF($D$5="Non-Central",INDEX(fuel_avail,$A59-$A$24+1,MATCH(R$21,Fuels,0)),1)</f>
        <v>0.49999886983785102</v>
      </c>
      <c r="AM59" s="445" cm="1">
        <f t="array" ref="AM59">IF($A59&lt;AM$23,0,AM$21+VLOOKUP($A59-AM$23,SCdata,2,1)*(AM$22-AM$21))*IF($D$5="Non-Central",INDEX(fuel_avail,$A59-$A$24+1,MATCH(S$21,Fuels,0)),1)</f>
        <v>0.49999886983785102</v>
      </c>
      <c r="AN59" s="171">
        <f t="shared" si="52"/>
        <v>0.99765764059682316</v>
      </c>
      <c r="AO59" s="172">
        <f t="shared" si="52"/>
        <v>0.99647899207394586</v>
      </c>
      <c r="AP59" s="172">
        <f t="shared" si="52"/>
        <v>0.24378946097695853</v>
      </c>
      <c r="AQ59" s="172">
        <f t="shared" si="52"/>
        <v>0.61046075425531865</v>
      </c>
      <c r="AR59" s="445">
        <f t="shared" si="52"/>
        <v>0.59860774543585082</v>
      </c>
      <c r="AS59" s="168">
        <f t="shared" ca="1" si="41"/>
        <v>0.99999773967570205</v>
      </c>
      <c r="AT59" s="169">
        <f t="shared" ca="1" si="42"/>
        <v>0.99999773967570205</v>
      </c>
      <c r="AU59" s="169">
        <f t="shared" si="43"/>
        <v>0</v>
      </c>
      <c r="AV59" s="169">
        <f t="shared" ca="1" si="44"/>
        <v>0.96102831968726332</v>
      </c>
      <c r="AW59" s="170">
        <f t="shared" ca="1" si="45"/>
        <v>0.96102831968726332</v>
      </c>
      <c r="AX59" s="168">
        <f t="shared" ca="1" si="46"/>
        <v>0.99765538556701705</v>
      </c>
      <c r="AY59" s="169">
        <f t="shared" ca="1" si="46"/>
        <v>0.99647673970826767</v>
      </c>
      <c r="AZ59" s="169">
        <f t="shared" si="46"/>
        <v>0</v>
      </c>
      <c r="BA59" s="169">
        <f t="shared" ca="1" si="46"/>
        <v>0.58667007289700823</v>
      </c>
      <c r="BB59" s="170">
        <f t="shared" ca="1" si="46"/>
        <v>0.57527899574799679</v>
      </c>
      <c r="BC59" s="168">
        <f t="shared" ca="1" si="53"/>
        <v>2.3446144329828389E-3</v>
      </c>
      <c r="BD59" s="169">
        <f t="shared" ca="1" si="47"/>
        <v>0.31536459526713029</v>
      </c>
      <c r="BE59" s="169">
        <f t="shared" ca="1" si="48"/>
        <v>0.31499201854416042</v>
      </c>
      <c r="BF59" s="169">
        <f t="shared" ca="1" si="49"/>
        <v>0</v>
      </c>
      <c r="BG59" s="169">
        <f t="shared" ca="1" si="50"/>
        <v>0.18544977832134851</v>
      </c>
      <c r="BH59" s="170">
        <f t="shared" ca="1" si="51"/>
        <v>0.18184899343437783</v>
      </c>
    </row>
    <row r="60" spans="1:60" x14ac:dyDescent="0.2">
      <c r="A60" s="189">
        <v>2043</v>
      </c>
      <c r="B60" s="667" cm="1">
        <f t="array" ref="B60">ROUND(INDEX(COST_Cls3,$A60-($A$24-1),MATCH(B$20,TECHOPTS_Cls3,0)),2)</f>
        <v>85743.64</v>
      </c>
      <c r="C60" s="668" cm="1">
        <f t="array" ref="C60">ROUND(INDEX(COST_Cls3,$A60-($A$24-1),MATCH(C$20,TECHOPTS_Cls3,0)),2)</f>
        <v>2384.3200000000002</v>
      </c>
      <c r="D60" s="668" cm="1">
        <f t="array" ref="D60">ROUND(INDEX(COST_Cls3,$A60-($A$24-1),MATCH(D$20,TECHOPTS_Cls3,0)),2)</f>
        <v>2463.48</v>
      </c>
      <c r="E60" s="668" cm="1">
        <f t="array" ref="E60">ROUND(INDEX(COST_Cls3,$A60-($A$24-1),MATCH(E$20,TECHOPTS_Cls3,0)),2)</f>
        <v>52433.32</v>
      </c>
      <c r="F60" s="668" cm="1">
        <f t="array" ref="F60">ROUND(INDEX(COST_Cls3,$A60-($A$24-1),MATCH(F$20,TECHOPTS_Cls3,0)),2)</f>
        <v>32245.66</v>
      </c>
      <c r="G60" s="669" cm="1">
        <f t="array" ref="G60">ROUND(INDEX(COST_Cls3,$A60-($A$24-1),MATCH(G$20,TECHOPTS_Cls3,0)),2)</f>
        <v>33296.99</v>
      </c>
      <c r="H60" s="628" cm="1">
        <f t="array" ref="H60">IF(H$21="Single-fuel",1,1-MIN(INDEX(CDRANGE_CLS3,$A60-($A$24-1),MATCH(H$20,TECHOPTS_Cls3,0))*OPDAYS_Cls3/$D$6,1))</f>
        <v>1</v>
      </c>
      <c r="I60" s="629" cm="1">
        <f t="array" ref="I60">IF(I$21="Single-fuel",1,1-MIN(INDEX(CDRANGE_CLS3,$A60-($A$24-1),MATCH(I$20,TECHOPTS_Cls3,0))*OPDAYS_Cls3/$D$6,1))</f>
        <v>1</v>
      </c>
      <c r="J60" s="629" cm="1">
        <f t="array" ref="J60">IF(J$21="Single-fuel",1,1-MIN(INDEX(CDRANGE_CLS3,$A60-($A$24-1),MATCH(J$20,TECHOPTS_Cls3,0))*OPDAYS_Cls3/$D$6,1))</f>
        <v>1</v>
      </c>
      <c r="K60" s="629" cm="1">
        <f t="array" ref="K60">IF(K$21="Single-fuel",1,1-MIN(INDEX(CDRANGE_CLS3,$A60-($A$24-1),MATCH(K$20,TECHOPTS_Cls3,0))*OPDAYS_Cls3/$D$6,1))</f>
        <v>1</v>
      </c>
      <c r="L60" s="629" cm="1">
        <f t="array" ref="L60">IF(L$21="Single-fuel",1,1-MIN(INDEX(CDRANGE_CLS3,$A60-($A$24-1),MATCH(L$20,TECHOPTS_Cls3,0))*OPDAYS_Cls3/$D$6,1))</f>
        <v>1</v>
      </c>
      <c r="M60" s="630" cm="1">
        <f t="array" ref="M60">IF(M$21="Single-fuel",1,1-MIN(INDEX(CDRANGE_CLS3,$A60-($A$24-1),MATCH(M$20,TECHOPTS_Cls3,0))*OPDAYS_Cls3/$D$6,1))</f>
        <v>0.84481529343258432</v>
      </c>
      <c r="N60" s="580"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148"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7370.9110652058798</v>
      </c>
      <c r="P60" s="148"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5690.1333805293598</v>
      </c>
      <c r="Q60" s="148"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4706.9123284943526</v>
      </c>
      <c r="R60" s="148"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4583.2437457987407</v>
      </c>
      <c r="S60" s="150"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4710.5056727333385</v>
      </c>
      <c r="T60" s="581">
        <f t="shared" si="30"/>
        <v>1470.9195651025302</v>
      </c>
      <c r="U60" s="162">
        <f t="shared" si="31"/>
        <v>3151.6972497790503</v>
      </c>
      <c r="V60" s="162">
        <f t="shared" si="32"/>
        <v>4134.9183018140575</v>
      </c>
      <c r="W60" s="162">
        <f t="shared" si="33"/>
        <v>4258.5868845096693</v>
      </c>
      <c r="X60" s="163">
        <f t="shared" si="34"/>
        <v>4131.3249575750715</v>
      </c>
      <c r="Y60" s="151" cm="1">
        <f t="array" aca="1" ref="Y60" ca="1">IF(AND(Y$22=TRUE,INDEX(CDRANGE_CLS3,MATCH($A60,$A$24:$A$67,0),MATCH(Y$20,$B$20:$G$20,0))&lt;$D$6/OPDAYS_Cls3),86,payback(C60,T60,disc_rate/12,85))</f>
        <v>2</v>
      </c>
      <c r="Z60" s="152" cm="1">
        <f t="array" aca="1" ref="Z60" ca="1">IF(AND(Z$22=TRUE,INDEX(CDRANGE_CLS3,MATCH($A60,$A$24:$A$67,0),MATCH(Z$20,$B$20:$G$20,0))&lt;$D$6/OPDAYS_Cls3),86,payback(D60,U60,disc_rate/12,85))</f>
        <v>1</v>
      </c>
      <c r="AA60" s="152" cm="1">
        <f t="array" ref="AA60">IF(AND(AA$22=TRUE,INDEX(CDRANGE_CLS3,MATCH($A60,$A$24:$A$67,0),MATCH(AA$20,$B$20:$G$20,0))&lt;$D$6/OPDAYS_Cls3),86,payback(E60,V60,disc_rate/12,85))</f>
        <v>86</v>
      </c>
      <c r="AB60" s="152" cm="1">
        <f t="array" aca="1" ref="AB60" ca="1">IF(AND(AB$22=TRUE,INDEX(CDRANGE_CLS3,MATCH($A60,$A$24:$A$67,0),MATCH(AB$20,$B$20:$G$20,0))&lt;$D$6/OPDAYS_Cls3),86,payback(F60,W60,disc_rate/12,85))</f>
        <v>8</v>
      </c>
      <c r="AC60" s="153" cm="1">
        <f t="array" aca="1" ref="AC60" ca="1">IF(AND(AC$22=TRUE,INDEX(CDRANGE_CLS3,MATCH($A60,$A$24:$A$67,0),MATCH(AC$20,$B$20:$G$20,0))&lt;$D$6/OPDAYS_Cls3),86,payback(G60,X60,disc_rate/12,85))</f>
        <v>9</v>
      </c>
      <c r="AD60" s="168">
        <f t="shared" si="35"/>
        <v>0</v>
      </c>
      <c r="AE60" s="169">
        <f t="shared" si="36"/>
        <v>0</v>
      </c>
      <c r="AF60" s="169">
        <f t="shared" si="37"/>
        <v>0</v>
      </c>
      <c r="AG60" s="169">
        <f t="shared" si="38"/>
        <v>0</v>
      </c>
      <c r="AH60" s="170">
        <f t="shared" si="39"/>
        <v>0</v>
      </c>
      <c r="AI60" s="442" cm="1">
        <f t="array" ref="AI60">IF($A60&lt;AI$23,0,AI$21+VLOOKUP($A60-AI$23,SCdata,2,1)*(AI$22-AI$21))*IF($D$5="Non-Central",INDEX(fuel_avail,$A60-$A$24+1,MATCH(O$21,Fuels,0)),1)</f>
        <v>0.49999958423598612</v>
      </c>
      <c r="AJ60" s="172" cm="1">
        <f t="array" ref="AJ60">IF($A60&lt;AJ$23,0,AJ$21+VLOOKUP($A60-AJ$23,SCdata,2,1)*(AJ$22-AJ$21))*IF($D$5="Non-Central",INDEX(fuel_avail,$A60-$A$24+1,MATCH(P$21,Fuels,0)),1)</f>
        <v>0.49999958423598612</v>
      </c>
      <c r="AK60" s="172" cm="1">
        <f t="array" ref="AK60">IF($A60&lt;AK$23,0,AK$21+VLOOKUP($A60-AK$23,SCdata,2,1)*(AK$22-AK$21))*IF($D$5="Non-Central",INDEX(fuel_avail,$A60-$A$24+1,MATCH(Q$21,Fuels,0)),1)</f>
        <v>0.49999958423598612</v>
      </c>
      <c r="AL60" s="172" cm="1">
        <f t="array" ref="AL60">IF($A60&lt;AL$23,0,AL$21+VLOOKUP($A60-AL$23,SCdata,2,1)*(AL$22-AL$21))*IF($D$5="Non-Central",INDEX(fuel_avail,$A60-$A$24+1,MATCH(R$21,Fuels,0)),1)</f>
        <v>0.49999958423598612</v>
      </c>
      <c r="AM60" s="445" cm="1">
        <f t="array" ref="AM60">IF($A60&lt;AM$23,0,AM$21+VLOOKUP($A60-AM$23,SCdata,2,1)*(AM$22-AM$21))*IF($D$5="Non-Central",INDEX(fuel_avail,$A60-$A$24+1,MATCH(S$21,Fuels,0)),1)</f>
        <v>0.49999958423598612</v>
      </c>
      <c r="AN60" s="171">
        <f t="shared" si="52"/>
        <v>0.99785436218973589</v>
      </c>
      <c r="AO60" s="172">
        <f t="shared" si="52"/>
        <v>0.99770969174301327</v>
      </c>
      <c r="AP60" s="172">
        <f t="shared" si="52"/>
        <v>0.3538990240749561</v>
      </c>
      <c r="AQ60" s="172">
        <f t="shared" si="52"/>
        <v>0.67512423827408974</v>
      </c>
      <c r="AR60" s="445">
        <f t="shared" si="52"/>
        <v>0.65777424666202911</v>
      </c>
      <c r="AS60" s="168">
        <f t="shared" ca="1" si="41"/>
        <v>0.99999916847197223</v>
      </c>
      <c r="AT60" s="169">
        <f t="shared" ca="1" si="42"/>
        <v>0.99999916847197223</v>
      </c>
      <c r="AU60" s="169">
        <f t="shared" si="43"/>
        <v>0</v>
      </c>
      <c r="AV60" s="169">
        <f t="shared" ca="1" si="44"/>
        <v>0.98864913792366504</v>
      </c>
      <c r="AW60" s="170">
        <f t="shared" ca="1" si="45"/>
        <v>0.97659435963806396</v>
      </c>
      <c r="AX60" s="168">
        <f t="shared" ca="1" si="46"/>
        <v>0.99785353244586605</v>
      </c>
      <c r="AY60" s="169">
        <f t="shared" ca="1" si="46"/>
        <v>0.99770886211944099</v>
      </c>
      <c r="AZ60" s="169">
        <f t="shared" si="46"/>
        <v>0</v>
      </c>
      <c r="BA60" s="169">
        <f t="shared" ca="1" si="46"/>
        <v>0.66746099616104981</v>
      </c>
      <c r="BB60" s="170">
        <f t="shared" ca="1" si="46"/>
        <v>0.64237861920531425</v>
      </c>
      <c r="BC60" s="168">
        <f t="shared" ca="1" si="53"/>
        <v>2.1464675541338352E-3</v>
      </c>
      <c r="BD60" s="169">
        <f t="shared" ca="1" si="47"/>
        <v>0.30123769188222776</v>
      </c>
      <c r="BE60" s="169">
        <f t="shared" ca="1" si="48"/>
        <v>0.3011940179824027</v>
      </c>
      <c r="BF60" s="169">
        <f t="shared" ca="1" si="49"/>
        <v>0</v>
      </c>
      <c r="BG60" s="169">
        <f t="shared" ca="1" si="50"/>
        <v>0.20149691649848919</v>
      </c>
      <c r="BH60" s="170">
        <f t="shared" ca="1" si="51"/>
        <v>0.19392490608274646</v>
      </c>
    </row>
    <row r="61" spans="1:60" x14ac:dyDescent="0.2">
      <c r="A61" s="189">
        <v>2044</v>
      </c>
      <c r="B61" s="667" cm="1">
        <f t="array" ref="B61">ROUND(INDEX(COST_Cls3,$A61-($A$24-1),MATCH(B$20,TECHOPTS_Cls3,0)),2)</f>
        <v>85795.66</v>
      </c>
      <c r="C61" s="668" cm="1">
        <f t="array" ref="C61">ROUND(INDEX(COST_Cls3,$A61-($A$24-1),MATCH(C$20,TECHOPTS_Cls3,0)),2)</f>
        <v>2282.36</v>
      </c>
      <c r="D61" s="668" cm="1">
        <f t="array" ref="D61">ROUND(INDEX(COST_Cls3,$A61-($A$24-1),MATCH(D$20,TECHOPTS_Cls3,0)),2)</f>
        <v>1895.54</v>
      </c>
      <c r="E61" s="668" cm="1">
        <f t="array" ref="E61">ROUND(INDEX(COST_Cls3,$A61-($A$24-1),MATCH(E$20,TECHOPTS_Cls3,0)),2)</f>
        <v>44104.54</v>
      </c>
      <c r="F61" s="668" cm="1">
        <f t="array" ref="F61">ROUND(INDEX(COST_Cls3,$A61-($A$24-1),MATCH(F$20,TECHOPTS_Cls3,0)),2)</f>
        <v>28513.09</v>
      </c>
      <c r="G61" s="669" cm="1">
        <f t="array" ref="G61">ROUND(INDEX(COST_Cls3,$A61-($A$24-1),MATCH(G$20,TECHOPTS_Cls3,0)),2)</f>
        <v>29891.95</v>
      </c>
      <c r="H61" s="628" cm="1">
        <f t="array" ref="H61">IF(H$21="Single-fuel",1,1-MIN(INDEX(CDRANGE_CLS3,$A61-($A$24-1),MATCH(H$20,TECHOPTS_Cls3,0))*OPDAYS_Cls3/$D$6,1))</f>
        <v>1</v>
      </c>
      <c r="I61" s="629" cm="1">
        <f t="array" ref="I61">IF(I$21="Single-fuel",1,1-MIN(INDEX(CDRANGE_CLS3,$A61-($A$24-1),MATCH(I$20,TECHOPTS_Cls3,0))*OPDAYS_Cls3/$D$6,1))</f>
        <v>1</v>
      </c>
      <c r="J61" s="629" cm="1">
        <f t="array" ref="J61">IF(J$21="Single-fuel",1,1-MIN(INDEX(CDRANGE_CLS3,$A61-($A$24-1),MATCH(J$20,TECHOPTS_Cls3,0))*OPDAYS_Cls3/$D$6,1))</f>
        <v>1</v>
      </c>
      <c r="K61" s="629" cm="1">
        <f t="array" ref="K61">IF(K$21="Single-fuel",1,1-MIN(INDEX(CDRANGE_CLS3,$A61-($A$24-1),MATCH(K$20,TECHOPTS_Cls3,0))*OPDAYS_Cls3/$D$6,1))</f>
        <v>1</v>
      </c>
      <c r="L61" s="629" cm="1">
        <f t="array" ref="L61">IF(L$21="Single-fuel",1,1-MIN(INDEX(CDRANGE_CLS3,$A61-($A$24-1),MATCH(L$20,TECHOPTS_Cls3,0))*OPDAYS_Cls3/$D$6,1))</f>
        <v>1</v>
      </c>
      <c r="M61" s="630" cm="1">
        <f t="array" ref="M61">IF(M$21="Single-fuel",1,1-MIN(INDEX(CDRANGE_CLS3,$A61-($A$24-1),MATCH(M$20,TECHOPTS_Cls3,0))*OPDAYS_Cls3/$D$6,1))</f>
        <v>0.84166141565308039</v>
      </c>
      <c r="N61" s="580"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148"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7285.5637967762032</v>
      </c>
      <c r="P61" s="148"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5612.9340682263137</v>
      </c>
      <c r="Q61" s="148"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4108.2364808443008</v>
      </c>
      <c r="R61" s="148"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4377.9386677353123</v>
      </c>
      <c r="S61" s="150"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4576.2233470350047</v>
      </c>
      <c r="T61" s="581">
        <f t="shared" si="30"/>
        <v>1621.1722303635433</v>
      </c>
      <c r="U61" s="162">
        <f t="shared" si="31"/>
        <v>3293.8019589134328</v>
      </c>
      <c r="V61" s="162">
        <f t="shared" si="32"/>
        <v>4798.4995462954457</v>
      </c>
      <c r="W61" s="162">
        <f t="shared" si="33"/>
        <v>4528.7973594044342</v>
      </c>
      <c r="X61" s="163">
        <f t="shared" si="34"/>
        <v>4330.5126801047418</v>
      </c>
      <c r="Y61" s="151" cm="1">
        <f t="array" aca="1" ref="Y61" ca="1">IF(AND(Y$22=TRUE,INDEX(CDRANGE_CLS3,MATCH($A61,$A$24:$A$67,0),MATCH(Y$20,$B$20:$G$20,0))&lt;$D$6/OPDAYS_Cls3),86,payback(C61,T61,disc_rate/12,85))</f>
        <v>2</v>
      </c>
      <c r="Z61" s="152" cm="1">
        <f t="array" aca="1" ref="Z61" ca="1">IF(AND(Z$22=TRUE,INDEX(CDRANGE_CLS3,MATCH($A61,$A$24:$A$67,0),MATCH(Z$20,$B$20:$G$20,0))&lt;$D$6/OPDAYS_Cls3),86,payback(D61,U61,disc_rate/12,85))</f>
        <v>1</v>
      </c>
      <c r="AA61" s="152" cm="1">
        <f t="array" ref="AA61">IF(AND(AA$22=TRUE,INDEX(CDRANGE_CLS3,MATCH($A61,$A$24:$A$67,0),MATCH(AA$20,$B$20:$G$20,0))&lt;$D$6/OPDAYS_Cls3),86,payback(E61,V61,disc_rate/12,85))</f>
        <v>86</v>
      </c>
      <c r="AB61" s="152" cm="1">
        <f t="array" aca="1" ref="AB61" ca="1">IF(AND(AB$22=TRUE,INDEX(CDRANGE_CLS3,MATCH($A61,$A$24:$A$67,0),MATCH(AB$20,$B$20:$G$20,0))&lt;$D$6/OPDAYS_Cls3),86,payback(F61,W61,disc_rate/12,85))</f>
        <v>7</v>
      </c>
      <c r="AC61" s="153" cm="1">
        <f t="array" aca="1" ref="AC61" ca="1">IF(AND(AC$22=TRUE,INDEX(CDRANGE_CLS3,MATCH($A61,$A$24:$A$67,0),MATCH(AC$20,$B$20:$G$20,0))&lt;$D$6/OPDAYS_Cls3),86,payback(G61,X61,disc_rate/12,85))</f>
        <v>8</v>
      </c>
      <c r="AD61" s="168">
        <f t="shared" si="35"/>
        <v>0</v>
      </c>
      <c r="AE61" s="169">
        <f t="shared" si="36"/>
        <v>0</v>
      </c>
      <c r="AF61" s="169">
        <f t="shared" si="37"/>
        <v>0</v>
      </c>
      <c r="AG61" s="169">
        <f t="shared" si="38"/>
        <v>0</v>
      </c>
      <c r="AH61" s="170">
        <f t="shared" si="39"/>
        <v>0</v>
      </c>
      <c r="AI61" s="442" cm="1">
        <f t="array" ref="AI61">IF($A61&lt;AI$23,0,AI$21+VLOOKUP($A61-AI$23,SCdata,2,1)*(AI$22-AI$21))*IF($D$5="Non-Central",INDEX(fuel_avail,$A61-$A$24+1,MATCH(O$21,Fuels,0)),1)</f>
        <v>0.4999998470488865</v>
      </c>
      <c r="AJ61" s="172" cm="1">
        <f t="array" ref="AJ61">IF($A61&lt;AJ$23,0,AJ$21+VLOOKUP($A61-AJ$23,SCdata,2,1)*(AJ$22-AJ$21))*IF($D$5="Non-Central",INDEX(fuel_avail,$A61-$A$24+1,MATCH(P$21,Fuels,0)),1)</f>
        <v>0.4999998470488865</v>
      </c>
      <c r="AK61" s="172" cm="1">
        <f t="array" ref="AK61">IF($A61&lt;AK$23,0,AK$21+VLOOKUP($A61-AK$23,SCdata,2,1)*(AK$22-AK$21))*IF($D$5="Non-Central",INDEX(fuel_avail,$A61-$A$24+1,MATCH(Q$21,Fuels,0)),1)</f>
        <v>0.4999998470488865</v>
      </c>
      <c r="AL61" s="172" cm="1">
        <f t="array" ref="AL61">IF($A61&lt;AL$23,0,AL$21+VLOOKUP($A61-AL$23,SCdata,2,1)*(AL$22-AL$21))*IF($D$5="Non-Central",INDEX(fuel_avail,$A61-$A$24+1,MATCH(R$21,Fuels,0)),1)</f>
        <v>0.4999998470488865</v>
      </c>
      <c r="AM61" s="445" cm="1">
        <f t="array" ref="AM61">IF($A61&lt;AM$23,0,AM$21+VLOOKUP($A61-AM$23,SCdata,2,1)*(AM$22-AM$21))*IF($D$5="Non-Central",INDEX(fuel_avail,$A61-$A$24+1,MATCH(S$21,Fuels,0)),1)</f>
        <v>0.4999998470488865</v>
      </c>
      <c r="AN61" s="171">
        <f t="shared" si="52"/>
        <v>0.99803614978302957</v>
      </c>
      <c r="AO61" s="172">
        <f t="shared" si="52"/>
        <v>0.99864500289615521</v>
      </c>
      <c r="AP61" s="172">
        <f t="shared" si="52"/>
        <v>0.47995486905540563</v>
      </c>
      <c r="AQ61" s="172">
        <f t="shared" si="52"/>
        <v>0.7357977068587761</v>
      </c>
      <c r="AR61" s="445">
        <f t="shared" si="52"/>
        <v>0.71377283979136086</v>
      </c>
      <c r="AS61" s="168">
        <f t="shared" ca="1" si="41"/>
        <v>0.99999969409777301</v>
      </c>
      <c r="AT61" s="169">
        <f t="shared" ca="1" si="42"/>
        <v>0.99999969409777301</v>
      </c>
      <c r="AU61" s="169">
        <f t="shared" si="43"/>
        <v>0</v>
      </c>
      <c r="AV61" s="169">
        <f t="shared" ca="1" si="44"/>
        <v>0.99672698050593345</v>
      </c>
      <c r="AW61" s="170">
        <f t="shared" ca="1" si="45"/>
        <v>0.98864965758359191</v>
      </c>
      <c r="AX61" s="168">
        <f t="shared" ca="1" si="46"/>
        <v>0.9980358444815487</v>
      </c>
      <c r="AY61" s="169">
        <f t="shared" ca="1" si="46"/>
        <v>0.99864469740842488</v>
      </c>
      <c r="AZ61" s="169">
        <f t="shared" si="46"/>
        <v>0</v>
      </c>
      <c r="BA61" s="169">
        <f t="shared" ca="1" si="46"/>
        <v>0.73338942662053785</v>
      </c>
      <c r="BB61" s="170">
        <f t="shared" ca="1" si="46"/>
        <v>0.70567127365219695</v>
      </c>
      <c r="BC61" s="168">
        <f t="shared" ca="1" si="53"/>
        <v>1.3553025915749028E-3</v>
      </c>
      <c r="BD61" s="169">
        <f t="shared" ca="1" si="47"/>
        <v>0.29009262737366459</v>
      </c>
      <c r="BE61" s="169">
        <f t="shared" ca="1" si="48"/>
        <v>0.29026959871814911</v>
      </c>
      <c r="BF61" s="169">
        <f t="shared" ca="1" si="49"/>
        <v>0</v>
      </c>
      <c r="BG61" s="169">
        <f t="shared" ca="1" si="50"/>
        <v>0.21316956383158286</v>
      </c>
      <c r="BH61" s="170">
        <f t="shared" ca="1" si="51"/>
        <v>0.20511290748502836</v>
      </c>
    </row>
    <row r="62" spans="1:60" ht="13.5" thickBot="1" x14ac:dyDescent="0.25">
      <c r="A62" s="174">
        <v>2045</v>
      </c>
      <c r="B62" s="670" cm="1">
        <f t="array" ref="B62">ROUND(INDEX(COST_Cls3,$A62-($A$24-1),MATCH(B$20,TECHOPTS_Cls3,0)),2)</f>
        <v>85840.06</v>
      </c>
      <c r="C62" s="671" cm="1">
        <f t="array" ref="C62">ROUND(INDEX(COST_Cls3,$A62-($A$24-1),MATCH(C$20,TECHOPTS_Cls3,0)),2)</f>
        <v>2191.5</v>
      </c>
      <c r="D62" s="671" cm="1">
        <f t="array" ref="D62">ROUND(INDEX(COST_Cls3,$A62-($A$24-1),MATCH(D$20,TECHOPTS_Cls3,0)),2)</f>
        <v>1389.36</v>
      </c>
      <c r="E62" s="671" cm="1">
        <f t="array" ref="E62">ROUND(INDEX(COST_Cls3,$A62-($A$24-1),MATCH(E$20,TECHOPTS_Cls3,0)),2)</f>
        <v>36681.46</v>
      </c>
      <c r="F62" s="671" cm="1">
        <f t="array" ref="F62">ROUND(INDEX(COST_Cls3,$A62-($A$24-1),MATCH(F$20,TECHOPTS_Cls3,0)),2)</f>
        <v>25186.42</v>
      </c>
      <c r="G62" s="672" cm="1">
        <f t="array" ref="G62">ROUND(INDEX(COST_Cls3,$A62-($A$24-1),MATCH(G$20,TECHOPTS_Cls3,0)),2)</f>
        <v>26857.18</v>
      </c>
      <c r="H62" s="628" cm="1">
        <f t="array" ref="H62">IF(H$21="Single-fuel",1,1-MIN(INDEX(CDRANGE_CLS3,$A62-($A$24-1),MATCH(H$20,TECHOPTS_Cls3,0))*OPDAYS_Cls3/$D$6,1))</f>
        <v>1</v>
      </c>
      <c r="I62" s="629" cm="1">
        <f t="array" ref="I62">IF(I$21="Single-fuel",1,1-MIN(INDEX(CDRANGE_CLS3,$A62-($A$24-1),MATCH(I$20,TECHOPTS_Cls3,0))*OPDAYS_Cls3/$D$6,1))</f>
        <v>1</v>
      </c>
      <c r="J62" s="629" cm="1">
        <f t="array" ref="J62">IF(J$21="Single-fuel",1,1-MIN(INDEX(CDRANGE_CLS3,$A62-($A$24-1),MATCH(J$20,TECHOPTS_Cls3,0))*OPDAYS_Cls3/$D$6,1))</f>
        <v>1</v>
      </c>
      <c r="K62" s="629" cm="1">
        <f t="array" ref="K62">IF(K$21="Single-fuel",1,1-MIN(INDEX(CDRANGE_CLS3,$A62-($A$24-1),MATCH(K$20,TECHOPTS_Cls3,0))*OPDAYS_Cls3/$D$6,1))</f>
        <v>1</v>
      </c>
      <c r="L62" s="629" cm="1">
        <f t="array" ref="L62">IF(L$21="Single-fuel",1,1-MIN(INDEX(CDRANGE_CLS3,$A62-($A$24-1),MATCH(L$20,TECHOPTS_Cls3,0))*OPDAYS_Cls3/$D$6,1))</f>
        <v>1</v>
      </c>
      <c r="M62" s="630" cm="1">
        <f t="array" ref="M62">IF(M$21="Single-fuel",1,1-MIN(INDEX(CDRANGE_CLS3,$A62-($A$24-1),MATCH(M$20,TECHOPTS_Cls3,0))*OPDAYS_Cls3/$D$6,1))</f>
        <v>0.83885050103090775</v>
      </c>
      <c r="N62" s="730"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626"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7261.0431077971953</v>
      </c>
      <c r="P62" s="626"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5584.3893141022436</v>
      </c>
      <c r="Q62" s="626"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3594.4217291429168</v>
      </c>
      <c r="R62" s="626"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4190.0431505591851</v>
      </c>
      <c r="S62" s="627"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4484.2139184160005</v>
      </c>
      <c r="T62" s="584">
        <f t="shared" si="30"/>
        <v>1764.3362696324712</v>
      </c>
      <c r="U62" s="176">
        <f t="shared" si="31"/>
        <v>3440.9900633274228</v>
      </c>
      <c r="V62" s="176">
        <f t="shared" si="32"/>
        <v>5430.9576482867496</v>
      </c>
      <c r="W62" s="176">
        <f t="shared" si="33"/>
        <v>4835.3362268704814</v>
      </c>
      <c r="X62" s="177">
        <f t="shared" si="34"/>
        <v>4541.1654590136659</v>
      </c>
      <c r="Y62" s="735" cm="1">
        <f t="array" aca="1" ref="Y62" ca="1">IF(AND(Y$22=TRUE,INDEX(CDRANGE_CLS3,MATCH($A62,$A$24:$A$67,0),MATCH(Y$20,$B$20:$G$20,0))&lt;$D$6/OPDAYS_Cls3),86,payback(C62,T62,disc_rate/12,85))</f>
        <v>2</v>
      </c>
      <c r="Z62" s="736" cm="1">
        <f t="array" aca="1" ref="Z62" ca="1">IF(AND(Z$22=TRUE,INDEX(CDRANGE_CLS3,MATCH($A62,$A$24:$A$67,0),MATCH(Z$20,$B$20:$G$20,0))&lt;$D$6/OPDAYS_Cls3),86,payback(D62,U62,disc_rate/12,85))</f>
        <v>1</v>
      </c>
      <c r="AA62" s="736" cm="1">
        <f t="array" ref="AA62">IF(AND(AA$22=TRUE,INDEX(CDRANGE_CLS3,MATCH($A62,$A$24:$A$67,0),MATCH(AA$20,$B$20:$G$20,0))&lt;$D$6/OPDAYS_Cls3),86,payback(E62,V62,disc_rate/12,85))</f>
        <v>86</v>
      </c>
      <c r="AB62" s="736" cm="1">
        <f t="array" aca="1" ref="AB62" ca="1">IF(AND(AB$22=TRUE,INDEX(CDRANGE_CLS3,MATCH($A62,$A$24:$A$67,0),MATCH(AB$20,$B$20:$G$20,0))&lt;$D$6/OPDAYS_Cls3),86,payback(F62,W62,disc_rate/12,85))</f>
        <v>6</v>
      </c>
      <c r="AC62" s="737" cm="1">
        <f t="array" aca="1" ref="AC62" ca="1">IF(AND(AC$22=TRUE,INDEX(CDRANGE_CLS3,MATCH($A62,$A$24:$A$67,0),MATCH(AC$20,$B$20:$G$20,0))&lt;$D$6/OPDAYS_Cls3),86,payback(G62,X62,disc_rate/12,85))</f>
        <v>7</v>
      </c>
      <c r="AD62" s="182">
        <f t="shared" si="35"/>
        <v>0</v>
      </c>
      <c r="AE62" s="183">
        <f t="shared" si="36"/>
        <v>0</v>
      </c>
      <c r="AF62" s="183">
        <f t="shared" si="37"/>
        <v>0</v>
      </c>
      <c r="AG62" s="183">
        <f t="shared" si="38"/>
        <v>0</v>
      </c>
      <c r="AH62" s="184">
        <f t="shared" si="39"/>
        <v>0</v>
      </c>
      <c r="AI62" s="443" cm="1">
        <f t="array" ref="AI62">IF($A62&lt;AI$23,0,AI$21+VLOOKUP($A62-AI$23,SCdata,2,1)*(AI$22-AI$21))*IF($D$5="Non-Central",INDEX(fuel_avail,$A62-$A$24+1,MATCH(O$21,Fuels,0)),1)</f>
        <v>0.49999994373241896</v>
      </c>
      <c r="AJ62" s="186" cm="1">
        <f t="array" ref="AJ62">IF($A62&lt;AJ$23,0,AJ$21+VLOOKUP($A62-AJ$23,SCdata,2,1)*(AJ$22-AJ$21))*IF($D$5="Non-Central",INDEX(fuel_avail,$A62-$A$24+1,MATCH(P$21,Fuels,0)),1)</f>
        <v>0.49999994373241896</v>
      </c>
      <c r="AK62" s="186" cm="1">
        <f t="array" ref="AK62">IF($A62&lt;AK$23,0,AK$21+VLOOKUP($A62-AK$23,SCdata,2,1)*(AK$22-AK$21))*IF($D$5="Non-Central",INDEX(fuel_avail,$A62-$A$24+1,MATCH(Q$21,Fuels,0)),1)</f>
        <v>0.49999994373241896</v>
      </c>
      <c r="AL62" s="186" cm="1">
        <f t="array" ref="AL62">IF($A62&lt;AL$23,0,AL$21+VLOOKUP($A62-AL$23,SCdata,2,1)*(AL$22-AL$21))*IF($D$5="Non-Central",INDEX(fuel_avail,$A62-$A$24+1,MATCH(R$21,Fuels,0)),1)</f>
        <v>0.49999994373241896</v>
      </c>
      <c r="AM62" s="446" cm="1">
        <f t="array" ref="AM62">IF($A62&lt;AM$23,0,AM$21+VLOOKUP($A62-AM$23,SCdata,2,1)*(AM$22-AM$21))*IF($D$5="Non-Central",INDEX(fuel_avail,$A62-$A$24+1,MATCH(S$21,Fuels,0)),1)</f>
        <v>0.49999994373241896</v>
      </c>
      <c r="AN62" s="185">
        <f t="shared" si="52"/>
        <v>0.99819113008070992</v>
      </c>
      <c r="AO62" s="186">
        <f t="shared" si="52"/>
        <v>0.99927257361397226</v>
      </c>
      <c r="AP62" s="186">
        <f t="shared" si="52"/>
        <v>0.60215720040289678</v>
      </c>
      <c r="AQ62" s="186">
        <f t="shared" si="52"/>
        <v>0.78730546193374951</v>
      </c>
      <c r="AR62" s="446">
        <f t="shared" si="52"/>
        <v>0.76191657510209132</v>
      </c>
      <c r="AS62" s="182">
        <f t="shared" ca="1" si="41"/>
        <v>0.99999988746483792</v>
      </c>
      <c r="AT62" s="183">
        <f t="shared" ca="1" si="42"/>
        <v>0.99999988746483792</v>
      </c>
      <c r="AU62" s="183">
        <f t="shared" si="43"/>
        <v>0</v>
      </c>
      <c r="AV62" s="183">
        <f t="shared" ca="1" si="44"/>
        <v>0.99999988746483792</v>
      </c>
      <c r="AW62" s="184">
        <f t="shared" ca="1" si="45"/>
        <v>0.99672717324016313</v>
      </c>
      <c r="AX62" s="182">
        <f t="shared" ca="1" si="46"/>
        <v>0.99819101774910934</v>
      </c>
      <c r="AY62" s="183">
        <f t="shared" ca="1" si="46"/>
        <v>0.99927246116067125</v>
      </c>
      <c r="AZ62" s="183">
        <f t="shared" si="46"/>
        <v>0</v>
      </c>
      <c r="BA62" s="183">
        <f t="shared" ca="1" si="46"/>
        <v>0.7873053733342017</v>
      </c>
      <c r="BB62" s="184">
        <f t="shared" ca="1" si="46"/>
        <v>0.75942295414633398</v>
      </c>
      <c r="BC62" s="182">
        <f t="shared" ca="1" si="53"/>
        <v>7.2753883932885621E-4</v>
      </c>
      <c r="BD62" s="183">
        <f t="shared" ca="1" si="47"/>
        <v>0.28143645984852167</v>
      </c>
      <c r="BE62" s="183">
        <f t="shared" ca="1" si="48"/>
        <v>0.28174136902909391</v>
      </c>
      <c r="BF62" s="183">
        <f t="shared" ca="1" si="49"/>
        <v>0</v>
      </c>
      <c r="BG62" s="183">
        <f t="shared" ca="1" si="50"/>
        <v>0.22197799133731397</v>
      </c>
      <c r="BH62" s="184">
        <f t="shared" ca="1" si="51"/>
        <v>0.21411664094574159</v>
      </c>
    </row>
    <row r="63" spans="1:60" x14ac:dyDescent="0.2">
      <c r="A63" s="188">
        <v>2046</v>
      </c>
      <c r="B63" s="673" cm="1">
        <f t="array" ref="B63">ROUND(INDEX(COST_Cls3,$A63-($A$24-1),MATCH(B$20,TECHOPTS_Cls3,0)),2)</f>
        <v>85889.74</v>
      </c>
      <c r="C63" s="674" cm="1">
        <f t="array" ref="C63">ROUND(INDEX(COST_Cls3,$A63-($A$24-1),MATCH(C$20,TECHOPTS_Cls3,0)),2)</f>
        <v>2115.8200000000002</v>
      </c>
      <c r="D63" s="674" cm="1">
        <f t="array" ref="D63">ROUND(INDEX(COST_Cls3,$A63-($A$24-1),MATCH(D$20,TECHOPTS_Cls3,0)),2)</f>
        <v>967.8</v>
      </c>
      <c r="E63" s="674" cm="1">
        <f t="array" ref="E63">ROUND(INDEX(COST_Cls3,$A63-($A$24-1),MATCH(E$20,TECHOPTS_Cls3,0)),2)</f>
        <v>30499.32</v>
      </c>
      <c r="F63" s="674" cm="1">
        <f t="array" ref="F63">ROUND(INDEX(COST_Cls3,$A63-($A$24-1),MATCH(F$20,TECHOPTS_Cls3,0)),2)</f>
        <v>22415.87</v>
      </c>
      <c r="G63" s="675" cm="1">
        <f t="array" ref="G63">ROUND(INDEX(COST_Cls3,$A63-($A$24-1),MATCH(G$20,TECHOPTS_Cls3,0)),2)</f>
        <v>24329.74</v>
      </c>
      <c r="H63" s="628" cm="1">
        <f t="array" ref="H63">IF(H$21="Single-fuel",1,1-MIN(INDEX(CDRANGE_CLS3,$A63-($A$24-1),MATCH(H$20,TECHOPTS_Cls3,0))*OPDAYS_Cls3/$D$6,1))</f>
        <v>1</v>
      </c>
      <c r="I63" s="629" cm="1">
        <f t="array" ref="I63">IF(I$21="Single-fuel",1,1-MIN(INDEX(CDRANGE_CLS3,$A63-($A$24-1),MATCH(I$20,TECHOPTS_Cls3,0))*OPDAYS_Cls3/$D$6,1))</f>
        <v>1</v>
      </c>
      <c r="J63" s="629" cm="1">
        <f t="array" ref="J63">IF(J$21="Single-fuel",1,1-MIN(INDEX(CDRANGE_CLS3,$A63-($A$24-1),MATCH(J$20,TECHOPTS_Cls3,0))*OPDAYS_Cls3/$D$6,1))</f>
        <v>1</v>
      </c>
      <c r="K63" s="629" cm="1">
        <f t="array" ref="K63">IF(K$21="Single-fuel",1,1-MIN(INDEX(CDRANGE_CLS3,$A63-($A$24-1),MATCH(K$20,TECHOPTS_Cls3,0))*OPDAYS_Cls3/$D$6,1))</f>
        <v>1</v>
      </c>
      <c r="L63" s="629" cm="1">
        <f t="array" ref="L63">IF(L$21="Single-fuel",1,1-MIN(INDEX(CDRANGE_CLS3,$A63-($A$24-1),MATCH(L$20,TECHOPTS_Cls3,0))*OPDAYS_Cls3/$D$6,1))</f>
        <v>1</v>
      </c>
      <c r="M63" s="630" cm="1">
        <f t="array" ref="M63">IF(M$21="Single-fuel",1,1-MIN(INDEX(CDRANGE_CLS3,$A63-($A$24-1),MATCH(M$20,TECHOPTS_Cls3,0))*OPDAYS_Cls3/$D$6,1))</f>
        <v>0.8365094957150474</v>
      </c>
      <c r="N63" s="583"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479"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7164.7318023235612</v>
      </c>
      <c r="P63" s="479"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5502.6500406728965</v>
      </c>
      <c r="Q63" s="479"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3220.0594900920305</v>
      </c>
      <c r="R63" s="479"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4020.6277135816667</v>
      </c>
      <c r="S63" s="592"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4372.5434975198459</v>
      </c>
      <c r="T63" s="580">
        <f t="shared" si="30"/>
        <v>1861.9255408077743</v>
      </c>
      <c r="U63" s="148">
        <f t="shared" si="31"/>
        <v>3524.007302458439</v>
      </c>
      <c r="V63" s="148">
        <f t="shared" si="32"/>
        <v>5806.5978530393049</v>
      </c>
      <c r="W63" s="148">
        <f t="shared" si="33"/>
        <v>5006.0296295496682</v>
      </c>
      <c r="X63" s="149">
        <f t="shared" si="34"/>
        <v>4654.1138456114895</v>
      </c>
      <c r="Y63" s="151" cm="1">
        <f t="array" aca="1" ref="Y63" ca="1">IF(AND(Y$22=TRUE,INDEX(CDRANGE_CLS3,MATCH($A63,$A$24:$A$67,0),MATCH(Y$20,$B$20:$G$20,0))&lt;$D$6/OPDAYS_Cls3),86,payback(C63,T63,disc_rate/12,85))</f>
        <v>2</v>
      </c>
      <c r="Z63" s="152" cm="1">
        <f t="array" aca="1" ref="Z63" ca="1">IF(AND(Z$22=TRUE,INDEX(CDRANGE_CLS3,MATCH($A63,$A$24:$A$67,0),MATCH(Z$20,$B$20:$G$20,0))&lt;$D$6/OPDAYS_Cls3),86,payback(D63,U63,disc_rate/12,85))</f>
        <v>1</v>
      </c>
      <c r="AA63" s="152" cm="1">
        <f t="array" ref="AA63">IF(AND(AA$22=TRUE,INDEX(CDRANGE_CLS3,MATCH($A63,$A$24:$A$67,0),MATCH(AA$20,$B$20:$G$20,0))&lt;$D$6/OPDAYS_Cls3),86,payback(E63,V63,disc_rate/12,85))</f>
        <v>86</v>
      </c>
      <c r="AB63" s="152" cm="1">
        <f t="array" aca="1" ref="AB63" ca="1">IF(AND(AB$22=TRUE,INDEX(CDRANGE_CLS3,MATCH($A63,$A$24:$A$67,0),MATCH(AB$20,$B$20:$G$20,0))&lt;$D$6/OPDAYS_Cls3),86,payback(F63,W63,disc_rate/12,85))</f>
        <v>5</v>
      </c>
      <c r="AC63" s="153" cm="1">
        <f t="array" aca="1" ref="AC63" ca="1">IF(AND(AC$22=TRUE,INDEX(CDRANGE_CLS3,MATCH($A63,$A$24:$A$67,0),MATCH(AC$20,$B$20:$G$20,0))&lt;$D$6/OPDAYS_Cls3),86,payback(G63,X63,disc_rate/12,85))</f>
        <v>6</v>
      </c>
      <c r="AD63" s="154">
        <f t="shared" si="35"/>
        <v>0</v>
      </c>
      <c r="AE63" s="155">
        <f t="shared" si="36"/>
        <v>0</v>
      </c>
      <c r="AF63" s="155">
        <f t="shared" si="37"/>
        <v>0</v>
      </c>
      <c r="AG63" s="155">
        <f t="shared" si="38"/>
        <v>0</v>
      </c>
      <c r="AH63" s="156">
        <f t="shared" si="39"/>
        <v>0</v>
      </c>
      <c r="AI63" s="441" cm="1">
        <f t="array" ref="AI63">IF($A63&lt;AI$23,0,AI$21+VLOOKUP($A63-AI$23,SCdata,2,1)*(AI$22-AI$21))*IF($D$5="Non-Central",INDEX(fuel_avail,$A63-$A$24+1,MATCH(O$21,Fuels,0)),1)</f>
        <v>0.4999999793003122</v>
      </c>
      <c r="AJ63" s="158" cm="1">
        <f t="array" ref="AJ63">IF($A63&lt;AJ$23,0,AJ$21+VLOOKUP($A63-AJ$23,SCdata,2,1)*(AJ$22-AJ$21))*IF($D$5="Non-Central",INDEX(fuel_avail,$A63-$A$24+1,MATCH(P$21,Fuels,0)),1)</f>
        <v>0.4999999793003122</v>
      </c>
      <c r="AK63" s="158" cm="1">
        <f t="array" ref="AK63">IF($A63&lt;AK$23,0,AK$21+VLOOKUP($A63-AK$23,SCdata,2,1)*(AK$22-AK$21))*IF($D$5="Non-Central",INDEX(fuel_avail,$A63-$A$24+1,MATCH(Q$21,Fuels,0)),1)</f>
        <v>0.4999999793003122</v>
      </c>
      <c r="AL63" s="158" cm="1">
        <f t="array" ref="AL63">IF($A63&lt;AL$23,0,AL$21+VLOOKUP($A63-AL$23,SCdata,2,1)*(AL$22-AL$21))*IF($D$5="Non-Central",INDEX(fuel_avail,$A63-$A$24+1,MATCH(R$21,Fuels,0)),1)</f>
        <v>0.4999999793003122</v>
      </c>
      <c r="AM63" s="458" cm="1">
        <f t="array" ref="AM63">IF($A63&lt;AM$23,0,AM$21+VLOOKUP($A63-AM$23,SCdata,2,1)*(AM$22-AM$21))*IF($D$5="Non-Central",INDEX(fuel_avail,$A63-$A$24+1,MATCH(S$21,Fuels,0)),1)</f>
        <v>0.4999999793003122</v>
      </c>
      <c r="AN63" s="157">
        <f t="shared" si="52"/>
        <v>0.99831575071315415</v>
      </c>
      <c r="AO63" s="158">
        <f t="shared" si="52"/>
        <v>0.99964737786025082</v>
      </c>
      <c r="AP63" s="158">
        <f t="shared" si="52"/>
        <v>0.70450222814901109</v>
      </c>
      <c r="AQ63" s="158">
        <f t="shared" si="52"/>
        <v>0.82761916693967341</v>
      </c>
      <c r="AR63" s="458">
        <f t="shared" si="52"/>
        <v>0.80020316468045838</v>
      </c>
      <c r="AS63" s="154">
        <f t="shared" ca="1" si="41"/>
        <v>0.99999995860062441</v>
      </c>
      <c r="AT63" s="155">
        <f t="shared" ca="1" si="42"/>
        <v>0.99999995860062441</v>
      </c>
      <c r="AU63" s="155">
        <f t="shared" si="43"/>
        <v>0</v>
      </c>
      <c r="AV63" s="155">
        <f t="shared" ca="1" si="44"/>
        <v>0.99999995860062441</v>
      </c>
      <c r="AW63" s="156">
        <f t="shared" ca="1" si="45"/>
        <v>0.99999995860062441</v>
      </c>
      <c r="AX63" s="154">
        <f t="shared" ca="1" si="46"/>
        <v>0.99831570938350545</v>
      </c>
      <c r="AY63" s="155">
        <f t="shared" ca="1" si="46"/>
        <v>0.99964733647547355</v>
      </c>
      <c r="AZ63" s="155">
        <f t="shared" si="46"/>
        <v>0</v>
      </c>
      <c r="BA63" s="155">
        <f t="shared" ca="1" si="46"/>
        <v>0.82761913267675669</v>
      </c>
      <c r="BB63" s="156">
        <f t="shared" ca="1" si="46"/>
        <v>0.80020313155254696</v>
      </c>
      <c r="BC63" s="154">
        <f t="shared" ca="1" si="53"/>
        <v>3.5266352452656413E-4</v>
      </c>
      <c r="BD63" s="155">
        <f t="shared" ca="1" si="47"/>
        <v>0.27524068705064753</v>
      </c>
      <c r="BE63" s="155">
        <f t="shared" ca="1" si="48"/>
        <v>0.27560782337059475</v>
      </c>
      <c r="BF63" s="155">
        <f t="shared" ca="1" si="49"/>
        <v>0</v>
      </c>
      <c r="BG63" s="155">
        <f t="shared" ca="1" si="50"/>
        <v>0.22817877806899636</v>
      </c>
      <c r="BH63" s="156">
        <f t="shared" ca="1" si="51"/>
        <v>0.22062004798523485</v>
      </c>
    </row>
    <row r="64" spans="1:60" x14ac:dyDescent="0.2">
      <c r="A64" s="189">
        <v>2047</v>
      </c>
      <c r="B64" s="667" cm="1">
        <f t="array" ref="B64">ROUND(INDEX(COST_Cls3,$A64-($A$24-1),MATCH(B$20,TECHOPTS_Cls3,0)),2)</f>
        <v>85958.38</v>
      </c>
      <c r="C64" s="668" cm="1">
        <f t="array" ref="C64">ROUND(INDEX(COST_Cls3,$A64-($A$24-1),MATCH(C$20,TECHOPTS_Cls3,0)),2)</f>
        <v>2056.27</v>
      </c>
      <c r="D64" s="668" cm="1">
        <f t="array" ref="D64">ROUND(INDEX(COST_Cls3,$A64-($A$24-1),MATCH(D$20,TECHOPTS_Cls3,0)),2)</f>
        <v>636.1</v>
      </c>
      <c r="E64" s="668" cm="1">
        <f t="array" ref="E64">ROUND(INDEX(COST_Cls3,$A64-($A$24-1),MATCH(E$20,TECHOPTS_Cls3,0)),2)</f>
        <v>25634.9</v>
      </c>
      <c r="F64" s="668" cm="1">
        <f t="array" ref="F64">ROUND(INDEX(COST_Cls3,$A64-($A$24-1),MATCH(F$20,TECHOPTS_Cls3,0)),2)</f>
        <v>20235.87</v>
      </c>
      <c r="G64" s="669" cm="1">
        <f t="array" ref="G64">ROUND(INDEX(COST_Cls3,$A64-($A$24-1),MATCH(G$20,TECHOPTS_Cls3,0)),2)</f>
        <v>22341.02</v>
      </c>
      <c r="H64" s="628" cm="1">
        <f t="array" ref="H64">IF(H$21="Single-fuel",1,1-MIN(INDEX(CDRANGE_CLS3,$A64-($A$24-1),MATCH(H$20,TECHOPTS_Cls3,0))*OPDAYS_Cls3/$D$6,1))</f>
        <v>1</v>
      </c>
      <c r="I64" s="629" cm="1">
        <f t="array" ref="I64">IF(I$21="Single-fuel",1,1-MIN(INDEX(CDRANGE_CLS3,$A64-($A$24-1),MATCH(I$20,TECHOPTS_Cls3,0))*OPDAYS_Cls3/$D$6,1))</f>
        <v>1</v>
      </c>
      <c r="J64" s="629" cm="1">
        <f t="array" ref="J64">IF(J$21="Single-fuel",1,1-MIN(INDEX(CDRANGE_CLS3,$A64-($A$24-1),MATCH(J$20,TECHOPTS_Cls3,0))*OPDAYS_Cls3/$D$6,1))</f>
        <v>1</v>
      </c>
      <c r="K64" s="629" cm="1">
        <f t="array" ref="K64">IF(K$21="Single-fuel",1,1-MIN(INDEX(CDRANGE_CLS3,$A64-($A$24-1),MATCH(K$20,TECHOPTS_Cls3,0))*OPDAYS_Cls3/$D$6,1))</f>
        <v>1</v>
      </c>
      <c r="L64" s="629" cm="1">
        <f t="array" ref="L64">IF(L$21="Single-fuel",1,1-MIN(INDEX(CDRANGE_CLS3,$A64-($A$24-1),MATCH(L$20,TECHOPTS_Cls3,0))*OPDAYS_Cls3/$D$6,1))</f>
        <v>1</v>
      </c>
      <c r="M64" s="630" cm="1">
        <f t="array" ref="M64">IF(M$21="Single-fuel",1,1-MIN(INDEX(CDRANGE_CLS3,$A64-($A$24-1),MATCH(M$20,TECHOPTS_Cls3,0))*OPDAYS_Cls3/$D$6,1))</f>
        <v>0.8346674725085933</v>
      </c>
      <c r="N64" s="580"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148"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7153.64773766094</v>
      </c>
      <c r="P64" s="148"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5488.2755135994867</v>
      </c>
      <c r="Q64" s="148"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2993.3815902011693</v>
      </c>
      <c r="R64" s="148"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3868.0992976975454</v>
      </c>
      <c r="S64" s="150"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4329.0968211046411</v>
      </c>
      <c r="T64" s="581">
        <f t="shared" si="30"/>
        <v>1951.5594800365725</v>
      </c>
      <c r="U64" s="162">
        <f t="shared" si="31"/>
        <v>3616.9317040980259</v>
      </c>
      <c r="V64" s="162">
        <f t="shared" si="32"/>
        <v>6111.8256274963433</v>
      </c>
      <c r="W64" s="162">
        <f t="shared" si="33"/>
        <v>5237.1079199999676</v>
      </c>
      <c r="X64" s="163">
        <f t="shared" si="34"/>
        <v>4776.1103965928714</v>
      </c>
      <c r="Y64" s="151" cm="1">
        <f t="array" aca="1" ref="Y64" ca="1">IF(AND(Y$22=TRUE,INDEX(CDRANGE_CLS3,MATCH($A64,$A$24:$A$67,0),MATCH(Y$20,$B$20:$G$20,0))&lt;$D$6/OPDAYS_Cls3),86,payback(C64,T64,disc_rate/12,85))</f>
        <v>2</v>
      </c>
      <c r="Z64" s="152" cm="1">
        <f t="array" aca="1" ref="Z64" ca="1">IF(AND(Z$22=TRUE,INDEX(CDRANGE_CLS3,MATCH($A64,$A$24:$A$67,0),MATCH(Z$20,$B$20:$G$20,0))&lt;$D$6/OPDAYS_Cls3),86,payback(D64,U64,disc_rate/12,85))</f>
        <v>1</v>
      </c>
      <c r="AA64" s="152" cm="1">
        <f t="array" ref="AA64">IF(AND(AA$22=TRUE,INDEX(CDRANGE_CLS3,MATCH($A64,$A$24:$A$67,0),MATCH(AA$20,$B$20:$G$20,0))&lt;$D$6/OPDAYS_Cls3),86,payback(E64,V64,disc_rate/12,85))</f>
        <v>86</v>
      </c>
      <c r="AB64" s="152" cm="1">
        <f t="array" aca="1" ref="AB64" ca="1">IF(AND(AB$22=TRUE,INDEX(CDRANGE_CLS3,MATCH($A64,$A$24:$A$67,0),MATCH(AB$20,$B$20:$G$20,0))&lt;$D$6/OPDAYS_Cls3),86,payback(F64,W64,disc_rate/12,85))</f>
        <v>4</v>
      </c>
      <c r="AC64" s="153" cm="1">
        <f t="array" aca="1" ref="AC64" ca="1">IF(AND(AC$22=TRUE,INDEX(CDRANGE_CLS3,MATCH($A64,$A$24:$A$67,0),MATCH(AC$20,$B$20:$G$20,0))&lt;$D$6/OPDAYS_Cls3),86,payback(G64,X64,disc_rate/12,85))</f>
        <v>5</v>
      </c>
      <c r="AD64" s="168">
        <f t="shared" si="35"/>
        <v>0</v>
      </c>
      <c r="AE64" s="169">
        <f t="shared" si="36"/>
        <v>0</v>
      </c>
      <c r="AF64" s="169">
        <f t="shared" si="37"/>
        <v>0</v>
      </c>
      <c r="AG64" s="169">
        <f t="shared" si="38"/>
        <v>0</v>
      </c>
      <c r="AH64" s="170">
        <f t="shared" si="39"/>
        <v>0</v>
      </c>
      <c r="AI64" s="442" cm="1">
        <f t="array" ref="AI64">IF($A64&lt;AI$23,0,AI$21+VLOOKUP($A64-AI$23,SCdata,2,1)*(AI$22-AI$21))*IF($D$5="Non-Central",INDEX(fuel_avail,$A64-$A$24+1,MATCH(O$21,Fuels,0)),1)</f>
        <v>0.49999999238501025</v>
      </c>
      <c r="AJ64" s="172" cm="1">
        <f t="array" ref="AJ64">IF($A64&lt;AJ$23,0,AJ$21+VLOOKUP($A64-AJ$23,SCdata,2,1)*(AJ$22-AJ$21))*IF($D$5="Non-Central",INDEX(fuel_avail,$A64-$A$24+1,MATCH(P$21,Fuels,0)),1)</f>
        <v>0.49999999238501025</v>
      </c>
      <c r="AK64" s="172" cm="1">
        <f t="array" ref="AK64">IF($A64&lt;AK$23,0,AK$21+VLOOKUP($A64-AK$23,SCdata,2,1)*(AK$22-AK$21))*IF($D$5="Non-Central",INDEX(fuel_avail,$A64-$A$24+1,MATCH(Q$21,Fuels,0)),1)</f>
        <v>0.49999999238501025</v>
      </c>
      <c r="AL64" s="172" cm="1">
        <f t="array" ref="AL64">IF($A64&lt;AL$23,0,AL$21+VLOOKUP($A64-AL$23,SCdata,2,1)*(AL$22-AL$21))*IF($D$5="Non-Central",INDEX(fuel_avail,$A64-$A$24+1,MATCH(R$21,Fuels,0)),1)</f>
        <v>0.49999999238501025</v>
      </c>
      <c r="AM64" s="445" cm="1">
        <f t="array" ref="AM64">IF($A64&lt;AM$23,0,AM$21+VLOOKUP($A64-AM$23,SCdata,2,1)*(AM$22-AM$21))*IF($D$5="Non-Central",INDEX(fuel_avail,$A64-$A$24+1,MATCH(S$21,Fuels,0)),1)</f>
        <v>0.49999999238501025</v>
      </c>
      <c r="AN64" s="171">
        <f t="shared" si="52"/>
        <v>0.99841168657169077</v>
      </c>
      <c r="AO64" s="172">
        <f t="shared" si="52"/>
        <v>0.99984789663735263</v>
      </c>
      <c r="AP64" s="172">
        <f t="shared" si="52"/>
        <v>0.78110188088655619</v>
      </c>
      <c r="AQ64" s="172">
        <f t="shared" si="52"/>
        <v>0.85731940667431095</v>
      </c>
      <c r="AR64" s="445">
        <f t="shared" si="52"/>
        <v>0.82891248004606732</v>
      </c>
      <c r="AS64" s="168">
        <f t="shared" ca="1" si="41"/>
        <v>0.9999999847700205</v>
      </c>
      <c r="AT64" s="169">
        <f t="shared" ca="1" si="42"/>
        <v>0.9999999847700205</v>
      </c>
      <c r="AU64" s="169">
        <f t="shared" si="43"/>
        <v>0</v>
      </c>
      <c r="AV64" s="169">
        <f t="shared" ca="1" si="44"/>
        <v>0.9999999847700205</v>
      </c>
      <c r="AW64" s="170">
        <f t="shared" ca="1" si="45"/>
        <v>0.9999999847700205</v>
      </c>
      <c r="AX64" s="168">
        <f t="shared" ca="1" si="46"/>
        <v>0.99841167136590125</v>
      </c>
      <c r="AY64" s="169">
        <f t="shared" ca="1" si="46"/>
        <v>0.99984788140968961</v>
      </c>
      <c r="AZ64" s="169">
        <f t="shared" si="46"/>
        <v>0</v>
      </c>
      <c r="BA64" s="169">
        <f t="shared" ca="1" si="46"/>
        <v>0.85731939361735399</v>
      </c>
      <c r="BB64" s="170">
        <f t="shared" ca="1" si="46"/>
        <v>0.82891246742174729</v>
      </c>
      <c r="BC64" s="168">
        <f t="shared" ca="1" si="53"/>
        <v>1.5211859031039054E-4</v>
      </c>
      <c r="BD64" s="169">
        <f t="shared" ca="1" si="47"/>
        <v>0.27093557353587855</v>
      </c>
      <c r="BE64" s="169">
        <f t="shared" ca="1" si="48"/>
        <v>0.27132531296210083</v>
      </c>
      <c r="BF64" s="169">
        <f t="shared" ca="1" si="49"/>
        <v>0</v>
      </c>
      <c r="BG64" s="169">
        <f t="shared" ca="1" si="50"/>
        <v>0.23264784284359924</v>
      </c>
      <c r="BH64" s="170">
        <f t="shared" ca="1" si="51"/>
        <v>0.22493915206811102</v>
      </c>
    </row>
    <row r="65" spans="1:60" x14ac:dyDescent="0.2">
      <c r="A65" s="189">
        <v>2048</v>
      </c>
      <c r="B65" s="667" cm="1">
        <f t="array" ref="B65">ROUND(INDEX(COST_Cls3,$A65-($A$24-1),MATCH(B$20,TECHOPTS_Cls3,0)),2)</f>
        <v>86021.3</v>
      </c>
      <c r="C65" s="668" cm="1">
        <f t="array" ref="C65">ROUND(INDEX(COST_Cls3,$A65-($A$24-1),MATCH(C$20,TECHOPTS_Cls3,0)),2)</f>
        <v>2011.48</v>
      </c>
      <c r="D65" s="668" cm="1">
        <f t="array" ref="D65">ROUND(INDEX(COST_Cls3,$A65-($A$24-1),MATCH(D$20,TECHOPTS_Cls3,0)),2)</f>
        <v>386.57</v>
      </c>
      <c r="E65" s="668" cm="1">
        <f t="array" ref="E65">ROUND(INDEX(COST_Cls3,$A65-($A$24-1),MATCH(E$20,TECHOPTS_Cls3,0)),2)</f>
        <v>21975.56</v>
      </c>
      <c r="F65" s="668" cm="1">
        <f t="array" ref="F65">ROUND(INDEX(COST_Cls3,$A65-($A$24-1),MATCH(F$20,TECHOPTS_Cls3,0)),2)</f>
        <v>18595.93</v>
      </c>
      <c r="G65" s="669" cm="1">
        <f t="array" ref="G65">ROUND(INDEX(COST_Cls3,$A65-($A$24-1),MATCH(G$20,TECHOPTS_Cls3,0)),2)</f>
        <v>20844.98</v>
      </c>
      <c r="H65" s="628" cm="1">
        <f t="array" ref="H65">IF(H$21="Single-fuel",1,1-MIN(INDEX(CDRANGE_CLS3,$A65-($A$24-1),MATCH(H$20,TECHOPTS_Cls3,0))*OPDAYS_Cls3/$D$6,1))</f>
        <v>1</v>
      </c>
      <c r="I65" s="629" cm="1">
        <f t="array" ref="I65">IF(I$21="Single-fuel",1,1-MIN(INDEX(CDRANGE_CLS3,$A65-($A$24-1),MATCH(I$20,TECHOPTS_Cls3,0))*OPDAYS_Cls3/$D$6,1))</f>
        <v>1</v>
      </c>
      <c r="J65" s="629" cm="1">
        <f t="array" ref="J65">IF(J$21="Single-fuel",1,1-MIN(INDEX(CDRANGE_CLS3,$A65-($A$24-1),MATCH(J$20,TECHOPTS_Cls3,0))*OPDAYS_Cls3/$D$6,1))</f>
        <v>1</v>
      </c>
      <c r="K65" s="629" cm="1">
        <f t="array" ref="K65">IF(K$21="Single-fuel",1,1-MIN(INDEX(CDRANGE_CLS3,$A65-($A$24-1),MATCH(K$20,TECHOPTS_Cls3,0))*OPDAYS_Cls3/$D$6,1))</f>
        <v>1</v>
      </c>
      <c r="L65" s="629" cm="1">
        <f t="array" ref="L65">IF(L$21="Single-fuel",1,1-MIN(INDEX(CDRANGE_CLS3,$A65-($A$24-1),MATCH(L$20,TECHOPTS_Cls3,0))*OPDAYS_Cls3/$D$6,1))</f>
        <v>1</v>
      </c>
      <c r="M65" s="630" cm="1">
        <f t="array" ref="M65">IF(M$21="Single-fuel",1,1-MIN(INDEX(CDRANGE_CLS3,$A65-($A$24-1),MATCH(M$20,TECHOPTS_Cls3,0))*OPDAYS_Cls3/$D$6,1))</f>
        <v>0.83328178193230473</v>
      </c>
      <c r="N65" s="580"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148"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7156.3138026334191</v>
      </c>
      <c r="P65" s="148"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5486.0003739940748</v>
      </c>
      <c r="Q65" s="148"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2876.4793472518368</v>
      </c>
      <c r="R65" s="148"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3729.4926087481085</v>
      </c>
      <c r="S65" s="150"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4310.2964530722656</v>
      </c>
      <c r="T65" s="581">
        <f t="shared" si="30"/>
        <v>2020.8834391767878</v>
      </c>
      <c r="U65" s="162">
        <f t="shared" si="31"/>
        <v>3691.196867816132</v>
      </c>
      <c r="V65" s="162">
        <f t="shared" si="32"/>
        <v>6300.7178945583701</v>
      </c>
      <c r="W65" s="162">
        <f t="shared" si="33"/>
        <v>5447.7046330620979</v>
      </c>
      <c r="X65" s="163">
        <f t="shared" si="34"/>
        <v>4866.9007887379412</v>
      </c>
      <c r="Y65" s="151" cm="1">
        <f t="array" aca="1" ref="Y65" ca="1">IF(AND(Y$22=TRUE,INDEX(CDRANGE_CLS3,MATCH($A65,$A$24:$A$67,0),MATCH(Y$20,$B$20:$G$20,0))&lt;$D$6/OPDAYS_Cls3),86,payback(C65,T65,disc_rate/12,85))</f>
        <v>2</v>
      </c>
      <c r="Z65" s="152" cm="1">
        <f t="array" aca="1" ref="Z65" ca="1">IF(AND(Z$22=TRUE,INDEX(CDRANGE_CLS3,MATCH($A65,$A$24:$A$67,0),MATCH(Z$20,$B$20:$G$20,0))&lt;$D$6/OPDAYS_Cls3),86,payback(D65,U65,disc_rate/12,85))</f>
        <v>1</v>
      </c>
      <c r="AA65" s="152" cm="1">
        <f t="array" ref="AA65">IF(AND(AA$22=TRUE,INDEX(CDRANGE_CLS3,MATCH($A65,$A$24:$A$67,0),MATCH(AA$20,$B$20:$G$20,0))&lt;$D$6/OPDAYS_Cls3),86,payback(E65,V65,disc_rate/12,85))</f>
        <v>86</v>
      </c>
      <c r="AB65" s="152" cm="1">
        <f t="array" aca="1" ref="AB65" ca="1">IF(AND(AB$22=TRUE,INDEX(CDRANGE_CLS3,MATCH($A65,$A$24:$A$67,0),MATCH(AB$20,$B$20:$G$20,0))&lt;$D$6/OPDAYS_Cls3),86,payback(F65,W65,disc_rate/12,85))</f>
        <v>4</v>
      </c>
      <c r="AC65" s="153" cm="1">
        <f t="array" aca="1" ref="AC65" ca="1">IF(AND(AC$22=TRUE,INDEX(CDRANGE_CLS3,MATCH($A65,$A$24:$A$67,0),MATCH(AC$20,$B$20:$G$20,0))&lt;$D$6/OPDAYS_Cls3),86,payback(G65,X65,disc_rate/12,85))</f>
        <v>5</v>
      </c>
      <c r="AD65" s="168">
        <f t="shared" si="35"/>
        <v>0</v>
      </c>
      <c r="AE65" s="169">
        <f t="shared" si="36"/>
        <v>0</v>
      </c>
      <c r="AF65" s="169">
        <f t="shared" si="37"/>
        <v>0</v>
      </c>
      <c r="AG65" s="169">
        <f t="shared" si="38"/>
        <v>0</v>
      </c>
      <c r="AH65" s="170">
        <f t="shared" si="39"/>
        <v>0</v>
      </c>
      <c r="AI65" s="442" cm="1">
        <f t="array" ref="AI65">IF($A65&lt;AI$23,0,AI$21+VLOOKUP($A65-AI$23,SCdata,2,1)*(AI$22-AI$21))*IF($D$5="Non-Central",INDEX(fuel_avail,$A65-$A$24+1,MATCH(O$21,Fuels,0)),1)</f>
        <v>0.49999999719860178</v>
      </c>
      <c r="AJ65" s="172" cm="1">
        <f t="array" ref="AJ65">IF($A65&lt;AJ$23,0,AJ$21+VLOOKUP($A65-AJ$23,SCdata,2,1)*(AJ$22-AJ$21))*IF($D$5="Non-Central",INDEX(fuel_avail,$A65-$A$24+1,MATCH(P$21,Fuels,0)),1)</f>
        <v>0.49999999719860178</v>
      </c>
      <c r="AK65" s="172" cm="1">
        <f t="array" ref="AK65">IF($A65&lt;AK$23,0,AK$21+VLOOKUP($A65-AK$23,SCdata,2,1)*(AK$22-AK$21))*IF($D$5="Non-Central",INDEX(fuel_avail,$A65-$A$24+1,MATCH(Q$21,Fuels,0)),1)</f>
        <v>0.49999999719860178</v>
      </c>
      <c r="AL65" s="172" cm="1">
        <f t="array" ref="AL65">IF($A65&lt;AL$23,0,AL$21+VLOOKUP($A65-AL$23,SCdata,2,1)*(AL$22-AL$21))*IF($D$5="Non-Central",INDEX(fuel_avail,$A65-$A$24+1,MATCH(R$21,Fuels,0)),1)</f>
        <v>0.49999999719860178</v>
      </c>
      <c r="AM65" s="445" cm="1">
        <f t="array" ref="AM65">IF($A65&lt;AM$23,0,AM$21+VLOOKUP($A65-AM$23,SCdata,2,1)*(AM$22-AM$21))*IF($D$5="Non-Central",INDEX(fuel_avail,$A65-$A$24+1,MATCH(S$21,Fuels,0)),1)</f>
        <v>0.49999999719860178</v>
      </c>
      <c r="AN65" s="171">
        <f t="shared" si="52"/>
        <v>0.99848229571686531</v>
      </c>
      <c r="AO65" s="172">
        <f t="shared" si="52"/>
        <v>0.99994390429514113</v>
      </c>
      <c r="AP65" s="172">
        <f t="shared" si="52"/>
        <v>0.83419635031123818</v>
      </c>
      <c r="AQ65" s="172">
        <f t="shared" si="52"/>
        <v>0.87825883240644087</v>
      </c>
      <c r="AR65" s="445">
        <f t="shared" si="52"/>
        <v>0.84949522632567653</v>
      </c>
      <c r="AS65" s="168">
        <f t="shared" ca="1" si="41"/>
        <v>0.99999999439720355</v>
      </c>
      <c r="AT65" s="169">
        <f t="shared" ca="1" si="42"/>
        <v>0.99999999439720355</v>
      </c>
      <c r="AU65" s="169">
        <f t="shared" si="43"/>
        <v>0</v>
      </c>
      <c r="AV65" s="169">
        <f t="shared" ca="1" si="44"/>
        <v>0.99999999439720355</v>
      </c>
      <c r="AW65" s="170">
        <f t="shared" ca="1" si="45"/>
        <v>0.99999999439720355</v>
      </c>
      <c r="AX65" s="168">
        <f t="shared" ca="1" si="46"/>
        <v>0.99848229012257228</v>
      </c>
      <c r="AY65" s="169">
        <f t="shared" ca="1" si="46"/>
        <v>0.99994389869265898</v>
      </c>
      <c r="AZ65" s="169">
        <f t="shared" si="46"/>
        <v>0</v>
      </c>
      <c r="BA65" s="169">
        <f t="shared" ca="1" si="46"/>
        <v>0.87825882748573536</v>
      </c>
      <c r="BB65" s="170">
        <f t="shared" ca="1" si="46"/>
        <v>0.84949522156612767</v>
      </c>
      <c r="BC65" s="168">
        <f t="shared" ca="1" si="53"/>
        <v>5.6101307341127615E-5</v>
      </c>
      <c r="BD65" s="169">
        <f t="shared" ca="1" si="47"/>
        <v>0.26794900145041006</v>
      </c>
      <c r="BE65" s="169">
        <f t="shared" ca="1" si="48"/>
        <v>0.26834123330143073</v>
      </c>
      <c r="BF65" s="169">
        <f t="shared" ca="1" si="49"/>
        <v>0</v>
      </c>
      <c r="BG65" s="169">
        <f t="shared" ca="1" si="50"/>
        <v>0.23568627923377808</v>
      </c>
      <c r="BH65" s="170">
        <f t="shared" ca="1" si="51"/>
        <v>0.22796738470704001</v>
      </c>
    </row>
    <row r="66" spans="1:60" x14ac:dyDescent="0.2">
      <c r="A66" s="189">
        <v>2049</v>
      </c>
      <c r="B66" s="667" cm="1">
        <f t="array" ref="B66">ROUND(INDEX(COST_Cls3,$A66-($A$24-1),MATCH(B$20,TECHOPTS_Cls3,0)),2)</f>
        <v>86093.73</v>
      </c>
      <c r="C66" s="668" cm="1">
        <f t="array" ref="C66">ROUND(INDEX(COST_Cls3,$A66-($A$24-1),MATCH(C$20,TECHOPTS_Cls3,0)),2)</f>
        <v>1978.91</v>
      </c>
      <c r="D66" s="668" cm="1">
        <f t="array" ref="D66">ROUND(INDEX(COST_Cls3,$A66-($A$24-1),MATCH(D$20,TECHOPTS_Cls3,0)),2)</f>
        <v>205.13</v>
      </c>
      <c r="E66" s="668" cm="1">
        <f t="array" ref="E66">ROUND(INDEX(COST_Cls3,$A66-($A$24-1),MATCH(E$20,TECHOPTS_Cls3,0)),2)</f>
        <v>19314.79</v>
      </c>
      <c r="F66" s="668" cm="1">
        <f t="array" ref="F66">ROUND(INDEX(COST_Cls3,$A66-($A$24-1),MATCH(F$20,TECHOPTS_Cls3,0)),2)</f>
        <v>17403.490000000002</v>
      </c>
      <c r="G66" s="669" cm="1">
        <f t="array" ref="G66">ROUND(INDEX(COST_Cls3,$A66-($A$24-1),MATCH(G$20,TECHOPTS_Cls3,0)),2)</f>
        <v>19757.18</v>
      </c>
      <c r="H66" s="628" cm="1">
        <f t="array" ref="H66">IF(H$21="Single-fuel",1,1-MIN(INDEX(CDRANGE_CLS3,$A66-($A$24-1),MATCH(H$20,TECHOPTS_Cls3,0))*OPDAYS_Cls3/$D$6,1))</f>
        <v>1</v>
      </c>
      <c r="I66" s="629" cm="1">
        <f t="array" ref="I66">IF(I$21="Single-fuel",1,1-MIN(INDEX(CDRANGE_CLS3,$A66-($A$24-1),MATCH(I$20,TECHOPTS_Cls3,0))*OPDAYS_Cls3/$D$6,1))</f>
        <v>1</v>
      </c>
      <c r="J66" s="629" cm="1">
        <f t="array" ref="J66">IF(J$21="Single-fuel",1,1-MIN(INDEX(CDRANGE_CLS3,$A66-($A$24-1),MATCH(J$20,TECHOPTS_Cls3,0))*OPDAYS_Cls3/$D$6,1))</f>
        <v>1</v>
      </c>
      <c r="K66" s="629" cm="1">
        <f t="array" ref="K66">IF(K$21="Single-fuel",1,1-MIN(INDEX(CDRANGE_CLS3,$A66-($A$24-1),MATCH(K$20,TECHOPTS_Cls3,0))*OPDAYS_Cls3/$D$6,1))</f>
        <v>1</v>
      </c>
      <c r="L66" s="629" cm="1">
        <f t="array" ref="L66">IF(L$21="Single-fuel",1,1-MIN(INDEX(CDRANGE_CLS3,$A66-($A$24-1),MATCH(L$20,TECHOPTS_Cls3,0))*OPDAYS_Cls3/$D$6,1))</f>
        <v>1</v>
      </c>
      <c r="M66" s="630" cm="1">
        <f t="array" ref="M66">IF(M$21="Single-fuel",1,1-MIN(INDEX(CDRANGE_CLS3,$A66-($A$24-1),MATCH(M$20,TECHOPTS_Cls3,0))*OPDAYS_Cls3/$D$6,1))</f>
        <v>0.83227422195391099</v>
      </c>
      <c r="N66" s="580"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148"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7158.2573811502698</v>
      </c>
      <c r="P66" s="148"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5484.3955164929221</v>
      </c>
      <c r="Q66" s="148"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2814.3616501200681</v>
      </c>
      <c r="R66" s="148"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3601.5622101365298</v>
      </c>
      <c r="S66" s="150"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4300.0784912877762</v>
      </c>
      <c r="T66" s="581">
        <f t="shared" si="30"/>
        <v>2069.0224462042552</v>
      </c>
      <c r="U66" s="162">
        <f t="shared" si="31"/>
        <v>3742.8843108616029</v>
      </c>
      <c r="V66" s="162">
        <f t="shared" si="32"/>
        <v>6412.9181772344564</v>
      </c>
      <c r="W66" s="162">
        <f t="shared" si="33"/>
        <v>5625.7176172179952</v>
      </c>
      <c r="X66" s="163">
        <f t="shared" si="34"/>
        <v>4927.2013360667488</v>
      </c>
      <c r="Y66" s="151" cm="1">
        <f t="array" aca="1" ref="Y66" ca="1">IF(AND(Y$22=TRUE,INDEX(CDRANGE_CLS3,MATCH($A66,$A$24:$A$67,0),MATCH(Y$20,$B$20:$G$20,0))&lt;$D$6/OPDAYS_Cls3),86,payback(C66,T66,disc_rate/12,85))</f>
        <v>1</v>
      </c>
      <c r="Z66" s="152" cm="1">
        <f t="array" aca="1" ref="Z66" ca="1">IF(AND(Z$22=TRUE,INDEX(CDRANGE_CLS3,MATCH($A66,$A$24:$A$67,0),MATCH(Z$20,$B$20:$G$20,0))&lt;$D$6/OPDAYS_Cls3),86,payback(D66,U66,disc_rate/12,85))</f>
        <v>1</v>
      </c>
      <c r="AA66" s="152" cm="1">
        <f t="array" ref="AA66">IF(AND(AA$22=TRUE,INDEX(CDRANGE_CLS3,MATCH($A66,$A$24:$A$67,0),MATCH(AA$20,$B$20:$G$20,0))&lt;$D$6/OPDAYS_Cls3),86,payback(E66,V66,disc_rate/12,85))</f>
        <v>86</v>
      </c>
      <c r="AB66" s="152" cm="1">
        <f t="array" aca="1" ref="AB66" ca="1">IF(AND(AB$22=TRUE,INDEX(CDRANGE_CLS3,MATCH($A66,$A$24:$A$67,0),MATCH(AB$20,$B$20:$G$20,0))&lt;$D$6/OPDAYS_Cls3),86,payback(F66,W66,disc_rate/12,85))</f>
        <v>4</v>
      </c>
      <c r="AC66" s="153" cm="1">
        <f t="array" aca="1" ref="AC66" ca="1">IF(AND(AC$22=TRUE,INDEX(CDRANGE_CLS3,MATCH($A66,$A$24:$A$67,0),MATCH(AC$20,$B$20:$G$20,0))&lt;$D$6/OPDAYS_Cls3),86,payback(G66,X66,disc_rate/12,85))</f>
        <v>5</v>
      </c>
      <c r="AD66" s="168">
        <f t="shared" si="35"/>
        <v>0</v>
      </c>
      <c r="AE66" s="169">
        <f t="shared" si="36"/>
        <v>0</v>
      </c>
      <c r="AF66" s="169">
        <f t="shared" si="37"/>
        <v>0</v>
      </c>
      <c r="AG66" s="169">
        <f t="shared" si="38"/>
        <v>0</v>
      </c>
      <c r="AH66" s="170">
        <f t="shared" si="39"/>
        <v>0</v>
      </c>
      <c r="AI66" s="442" cm="1">
        <f t="array" ref="AI66">IF($A66&lt;AI$23,0,AI$21+VLOOKUP($A66-AI$23,SCdata,2,1)*(AI$22-AI$21))*IF($D$5="Non-Central",INDEX(fuel_avail,$A66-$A$24+1,MATCH(O$21,Fuels,0)),1)</f>
        <v>0.49999999896942315</v>
      </c>
      <c r="AJ66" s="172" cm="1">
        <f t="array" ref="AJ66">IF($A66&lt;AJ$23,0,AJ$21+VLOOKUP($A66-AJ$23,SCdata,2,1)*(AJ$22-AJ$21))*IF($D$5="Non-Central",INDEX(fuel_avail,$A66-$A$24+1,MATCH(P$21,Fuels,0)),1)</f>
        <v>0.49999999896942315</v>
      </c>
      <c r="AK66" s="172" cm="1">
        <f t="array" ref="AK66">IF($A66&lt;AK$23,0,AK$21+VLOOKUP($A66-AK$23,SCdata,2,1)*(AK$22-AK$21))*IF($D$5="Non-Central",INDEX(fuel_avail,$A66-$A$24+1,MATCH(Q$21,Fuels,0)),1)</f>
        <v>0.49999999896942315</v>
      </c>
      <c r="AL66" s="172" cm="1">
        <f t="array" ref="AL66">IF($A66&lt;AL$23,0,AL$21+VLOOKUP($A66-AL$23,SCdata,2,1)*(AL$22-AL$21))*IF($D$5="Non-Central",INDEX(fuel_avail,$A66-$A$24+1,MATCH(R$21,Fuels,0)),1)</f>
        <v>0.49999999896942315</v>
      </c>
      <c r="AM66" s="445" cm="1">
        <f t="array" ref="AM66">IF($A66&lt;AM$23,0,AM$21+VLOOKUP($A66-AM$23,SCdata,2,1)*(AM$22-AM$21))*IF($D$5="Non-Central",INDEX(fuel_avail,$A66-$A$24+1,MATCH(S$21,Fuels,0)),1)</f>
        <v>0.49999999896942315</v>
      </c>
      <c r="AN66" s="171">
        <f t="shared" si="52"/>
        <v>0.99853348033121192</v>
      </c>
      <c r="AO66" s="172">
        <f t="shared" si="52"/>
        <v>0.99998423080995902</v>
      </c>
      <c r="AP66" s="172">
        <f t="shared" si="52"/>
        <v>0.86952449373496976</v>
      </c>
      <c r="AQ66" s="172">
        <f t="shared" si="52"/>
        <v>0.89269689712189693</v>
      </c>
      <c r="AR66" s="445">
        <f t="shared" si="52"/>
        <v>0.86391012396296973</v>
      </c>
      <c r="AS66" s="168">
        <f t="shared" ca="1" si="41"/>
        <v>0.99999999793884631</v>
      </c>
      <c r="AT66" s="169">
        <f t="shared" ca="1" si="42"/>
        <v>0.99999999793884631</v>
      </c>
      <c r="AU66" s="169">
        <f t="shared" si="43"/>
        <v>0</v>
      </c>
      <c r="AV66" s="169">
        <f t="shared" ca="1" si="44"/>
        <v>0.99999999793884631</v>
      </c>
      <c r="AW66" s="170">
        <f t="shared" ca="1" si="45"/>
        <v>0.99999999793884631</v>
      </c>
      <c r="AX66" s="168">
        <f t="shared" ca="1" si="46"/>
        <v>0.99853347827308092</v>
      </c>
      <c r="AY66" s="169">
        <f t="shared" ca="1" si="46"/>
        <v>0.99998422874883786</v>
      </c>
      <c r="AZ66" s="169">
        <f t="shared" si="46"/>
        <v>0</v>
      </c>
      <c r="BA66" s="169">
        <f t="shared" ca="1" si="46"/>
        <v>0.89269689528191143</v>
      </c>
      <c r="BB66" s="170">
        <f t="shared" ca="1" si="46"/>
        <v>0.86391012218231822</v>
      </c>
      <c r="BC66" s="168">
        <f t="shared" ca="1" si="53"/>
        <v>1.5771251162144395E-5</v>
      </c>
      <c r="BD66" s="169">
        <f t="shared" ca="1" si="47"/>
        <v>0.26590800663417075</v>
      </c>
      <c r="BE66" s="169">
        <f t="shared" ca="1" si="48"/>
        <v>0.26629433936664887</v>
      </c>
      <c r="BF66" s="169">
        <f t="shared" ca="1" si="49"/>
        <v>0</v>
      </c>
      <c r="BG66" s="169">
        <f t="shared" ca="1" si="50"/>
        <v>0.23772387918676099</v>
      </c>
      <c r="BH66" s="170">
        <f t="shared" ca="1" si="51"/>
        <v>0.23005800356125733</v>
      </c>
    </row>
    <row r="67" spans="1:60" ht="13.5" thickBot="1" x14ac:dyDescent="0.25">
      <c r="A67" s="174">
        <v>2050</v>
      </c>
      <c r="B67" s="670" cm="1">
        <f t="array" ref="B67">ROUND(INDEX(COST_Cls3,$A67-($A$24-1),MATCH(B$20,TECHOPTS_Cls3,0)),2)</f>
        <v>86177.54</v>
      </c>
      <c r="C67" s="671" cm="1">
        <f t="array" ref="C67">ROUND(INDEX(COST_Cls3,$A67-($A$24-1),MATCH(C$20,TECHOPTS_Cls3,0)),2)</f>
        <v>1905.34</v>
      </c>
      <c r="D67" s="671" cm="1">
        <f t="array" ref="D67">ROUND(INDEX(COST_Cls3,$A67-($A$24-1),MATCH(D$20,TECHOPTS_Cls3,0)),2)</f>
        <v>200</v>
      </c>
      <c r="E67" s="671" cm="1">
        <f t="array" ref="E67">ROUND(INDEX(COST_Cls3,$A67-($A$24-1),MATCH(E$20,TECHOPTS_Cls3,0)),2)</f>
        <v>13305.34</v>
      </c>
      <c r="F67" s="671" cm="1">
        <f t="array" ref="F67">ROUND(INDEX(COST_Cls3,$A67-($A$24-1),MATCH(F$20,TECHOPTS_Cls3,0)),2)</f>
        <v>14710.34</v>
      </c>
      <c r="G67" s="672" cm="1">
        <f t="array" ref="G67">ROUND(INDEX(COST_Cls3,$A67-($A$24-1),MATCH(G$20,TECHOPTS_Cls3,0)),2)</f>
        <v>17300.34</v>
      </c>
      <c r="H67" s="628" cm="1">
        <f t="array" ref="H67">IF(H$21="Single-fuel",1,1-MIN(INDEX(CDRANGE_CLS3,$A67-($A$24-1),MATCH(H$20,TECHOPTS_Cls3,0))*OPDAYS_Cls3/$D$6,1))</f>
        <v>1</v>
      </c>
      <c r="I67" s="629" cm="1">
        <f t="array" ref="I67">IF(I$21="Single-fuel",1,1-MIN(INDEX(CDRANGE_CLS3,$A67-($A$24-1),MATCH(I$20,TECHOPTS_Cls3,0))*OPDAYS_Cls3/$D$6,1))</f>
        <v>1</v>
      </c>
      <c r="J67" s="629" cm="1">
        <f t="array" ref="J67">IF(J$21="Single-fuel",1,1-MIN(INDEX(CDRANGE_CLS3,$A67-($A$24-1),MATCH(J$20,TECHOPTS_Cls3,0))*OPDAYS_Cls3/$D$6,1))</f>
        <v>1</v>
      </c>
      <c r="K67" s="629" cm="1">
        <f t="array" ref="K67">IF(K$21="Single-fuel",1,1-MIN(INDEX(CDRANGE_CLS3,$A67-($A$24-1),MATCH(K$20,TECHOPTS_Cls3,0))*OPDAYS_Cls3/$D$6,1))</f>
        <v>1</v>
      </c>
      <c r="L67" s="629" cm="1">
        <f t="array" ref="L67">IF(L$21="Single-fuel",1,1-MIN(INDEX(CDRANGE_CLS3,$A67-($A$24-1),MATCH(L$20,TECHOPTS_Cls3,0))*OPDAYS_Cls3/$D$6,1))</f>
        <v>1</v>
      </c>
      <c r="M67" s="630" cm="1">
        <f t="array" ref="M67">IF(M$21="Single-fuel",1,1-MIN(INDEX(CDRANGE_CLS3,$A67-($A$24-1),MATCH(M$20,TECHOPTS_Cls3,0))*OPDAYS_Cls3/$D$6,1))</f>
        <v>0.82999861275492837</v>
      </c>
      <c r="N67" s="730"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626"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7105.0700739840686</v>
      </c>
      <c r="P67" s="626"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5436.849693006463</v>
      </c>
      <c r="Q67" s="626"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2759.1813296539763</v>
      </c>
      <c r="R67" s="626"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3448.565187628913</v>
      </c>
      <c r="S67" s="627"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4259.523360237632</v>
      </c>
      <c r="T67" s="584">
        <f t="shared" si="30"/>
        <v>2166.8577113718293</v>
      </c>
      <c r="U67" s="176">
        <f t="shared" si="31"/>
        <v>3835.0780923494349</v>
      </c>
      <c r="V67" s="176">
        <f t="shared" si="32"/>
        <v>6512.7464557019211</v>
      </c>
      <c r="W67" s="176">
        <f t="shared" si="33"/>
        <v>5823.3625977269849</v>
      </c>
      <c r="X67" s="177">
        <f t="shared" si="34"/>
        <v>5012.4044251182659</v>
      </c>
      <c r="Y67" s="735" cm="1">
        <f t="array" aca="1" ref="Y67" ca="1">IF(AND(Y$22=TRUE,INDEX(CDRANGE_CLS3,MATCH($A67,$A$24:$A$67,0),MATCH(Y$20,$B$20:$G$20,0))&lt;$D$6/OPDAYS_Cls3),86,payback(C67,T67,disc_rate/12,85))</f>
        <v>1</v>
      </c>
      <c r="Z67" s="736" cm="1">
        <f t="array" aca="1" ref="Z67" ca="1">IF(AND(Z$22=TRUE,INDEX(CDRANGE_CLS3,MATCH($A67,$A$24:$A$67,0),MATCH(Z$20,$B$20:$G$20,0))&lt;$D$6/OPDAYS_Cls3),86,payback(D67,U67,disc_rate/12,85))</f>
        <v>1</v>
      </c>
      <c r="AA67" s="736" cm="1">
        <f t="array" ref="AA67">IF(AND(AA$22=TRUE,INDEX(CDRANGE_CLS3,MATCH($A67,$A$24:$A$67,0),MATCH(AA$20,$B$20:$G$20,0))&lt;$D$6/OPDAYS_Cls3),86,payback(E67,V67,disc_rate/12,85))</f>
        <v>86</v>
      </c>
      <c r="AB67" s="736" cm="1">
        <f t="array" aca="1" ref="AB67" ca="1">IF(AND(AB$22=TRUE,INDEX(CDRANGE_CLS3,MATCH($A67,$A$24:$A$67,0),MATCH(AB$20,$B$20:$G$20,0))&lt;$D$6/OPDAYS_Cls3),86,payback(F67,W67,disc_rate/12,85))</f>
        <v>3</v>
      </c>
      <c r="AC67" s="737" cm="1">
        <f t="array" aca="1" ref="AC67" ca="1">IF(AND(AC$22=TRUE,INDEX(CDRANGE_CLS3,MATCH($A67,$A$24:$A$67,0),MATCH(AC$20,$B$20:$G$20,0))&lt;$D$6/OPDAYS_Cls3),86,payback(G67,X67,disc_rate/12,85))</f>
        <v>4</v>
      </c>
      <c r="AD67" s="182">
        <f t="shared" si="35"/>
        <v>0</v>
      </c>
      <c r="AE67" s="183">
        <f t="shared" si="36"/>
        <v>0</v>
      </c>
      <c r="AF67" s="183">
        <f t="shared" si="37"/>
        <v>0</v>
      </c>
      <c r="AG67" s="183">
        <f t="shared" si="38"/>
        <v>0</v>
      </c>
      <c r="AH67" s="184">
        <f t="shared" si="39"/>
        <v>0</v>
      </c>
      <c r="AI67" s="443" cm="1">
        <f t="array" ref="AI67">IF($A67&lt;AI$23,0,AI$21+VLOOKUP($A67-AI$23,SCdata,2,1)*(AI$22-AI$21))*IF($D$5="Non-Central",INDEX(fuel_avail,$A67-$A$24+1,MATCH(O$21,Fuels,0)),1)</f>
        <v>0.49999999962087194</v>
      </c>
      <c r="AJ67" s="186" cm="1">
        <f t="array" ref="AJ67">IF($A67&lt;AJ$23,0,AJ$21+VLOOKUP($A67-AJ$23,SCdata,2,1)*(AJ$22-AJ$21))*IF($D$5="Non-Central",INDEX(fuel_avail,$A67-$A$24+1,MATCH(P$21,Fuels,0)),1)</f>
        <v>0.49999999962087194</v>
      </c>
      <c r="AK67" s="186" cm="1">
        <f t="array" ref="AK67">IF($A67&lt;AK$23,0,AK$21+VLOOKUP($A67-AK$23,SCdata,2,1)*(AK$22-AK$21))*IF($D$5="Non-Central",INDEX(fuel_avail,$A67-$A$24+1,MATCH(Q$21,Fuels,0)),1)</f>
        <v>0.49999999962087194</v>
      </c>
      <c r="AL67" s="186" cm="1">
        <f t="array" ref="AL67">IF($A67&lt;AL$23,0,AL$21+VLOOKUP($A67-AL$23,SCdata,2,1)*(AL$22-AL$21))*IF($D$5="Non-Central",INDEX(fuel_avail,$A67-$A$24+1,MATCH(R$21,Fuels,0)),1)</f>
        <v>0.49999999962087194</v>
      </c>
      <c r="AM67" s="446" cm="1">
        <f t="array" ref="AM67">IF($A67&lt;AM$23,0,AM$21+VLOOKUP($A67-AM$23,SCdata,2,1)*(AM$22-AM$21))*IF($D$5="Non-Central",INDEX(fuel_avail,$A67-$A$24+1,MATCH(S$21,Fuels,0)),1)</f>
        <v>0.49999999962087194</v>
      </c>
      <c r="AN67" s="185">
        <f t="shared" si="52"/>
        <v>0.99864306369535749</v>
      </c>
      <c r="AO67" s="186">
        <f t="shared" si="52"/>
        <v>0.99998503881282164</v>
      </c>
      <c r="AP67" s="186">
        <f t="shared" si="52"/>
        <v>0.9359289208309638</v>
      </c>
      <c r="AQ67" s="186">
        <f t="shared" si="52"/>
        <v>0.9222504796495441</v>
      </c>
      <c r="AR67" s="446">
        <f t="shared" si="52"/>
        <v>0.89409023013626387</v>
      </c>
      <c r="AS67" s="182">
        <f t="shared" ca="1" si="41"/>
        <v>0.99999999924174388</v>
      </c>
      <c r="AT67" s="183">
        <f t="shared" ca="1" si="42"/>
        <v>0.99999999924174388</v>
      </c>
      <c r="AU67" s="183">
        <f t="shared" si="43"/>
        <v>0</v>
      </c>
      <c r="AV67" s="183">
        <f t="shared" ca="1" si="44"/>
        <v>0.99999999924174388</v>
      </c>
      <c r="AW67" s="184">
        <f t="shared" ca="1" si="45"/>
        <v>0.99999999924174388</v>
      </c>
      <c r="AX67" s="182">
        <f t="shared" ca="1" si="46"/>
        <v>0.99864306293813032</v>
      </c>
      <c r="AY67" s="183">
        <f t="shared" ca="1" si="46"/>
        <v>0.99998503805457684</v>
      </c>
      <c r="AZ67" s="183">
        <f t="shared" si="46"/>
        <v>0</v>
      </c>
      <c r="BA67" s="183">
        <f t="shared" ca="1" si="46"/>
        <v>0.92225047895024204</v>
      </c>
      <c r="BB67" s="184">
        <f t="shared" ca="1" si="46"/>
        <v>0.89409022945831451</v>
      </c>
      <c r="BC67" s="182">
        <f t="shared" ca="1" si="53"/>
        <v>1.4961945423275225E-5</v>
      </c>
      <c r="BD67" s="183">
        <f t="shared" ca="1" si="47"/>
        <v>0.26176573680869863</v>
      </c>
      <c r="BE67" s="183">
        <f t="shared" ca="1" si="48"/>
        <v>0.26211749723058747</v>
      </c>
      <c r="BF67" s="183">
        <f t="shared" ca="1" si="49"/>
        <v>0</v>
      </c>
      <c r="BG67" s="183">
        <f t="shared" ca="1" si="50"/>
        <v>0.24174160428683794</v>
      </c>
      <c r="BH67" s="184">
        <f t="shared" ca="1" si="51"/>
        <v>0.23436019972845282</v>
      </c>
    </row>
    <row r="68" spans="1:60" x14ac:dyDescent="0.2">
      <c r="A68" s="99" t="s">
        <v>240</v>
      </c>
      <c r="B68" s="655"/>
      <c r="C68" s="655"/>
      <c r="D68" s="655"/>
      <c r="E68" s="655"/>
      <c r="F68" s="655"/>
      <c r="G68" s="615"/>
      <c r="N68" s="731"/>
      <c r="O68" s="731"/>
      <c r="P68" s="731"/>
      <c r="Q68" s="731"/>
      <c r="R68" s="731"/>
      <c r="S68" s="731"/>
      <c r="W68" s="99" t="s">
        <v>40</v>
      </c>
      <c r="X68" s="99" t="s">
        <v>40</v>
      </c>
      <c r="Y68" s="106"/>
      <c r="Z68" s="106"/>
      <c r="AA68" s="106"/>
      <c r="AB68" s="106"/>
      <c r="AC68" s="106"/>
      <c r="AD68" s="194"/>
      <c r="AE68" s="106"/>
      <c r="AF68" s="106"/>
      <c r="AG68" s="106"/>
      <c r="AH68" s="106"/>
    </row>
    <row r="69" spans="1:60" ht="13.5" thickBot="1" x14ac:dyDescent="0.25"/>
    <row r="70" spans="1:60" s="29" customFormat="1" ht="15" x14ac:dyDescent="0.25">
      <c r="A70" s="205"/>
      <c r="B70" s="1539" t="s">
        <v>193</v>
      </c>
      <c r="C70" s="1540"/>
      <c r="D70" s="1540"/>
      <c r="E70" s="1540"/>
      <c r="F70" s="1540"/>
      <c r="G70" s="1540"/>
      <c r="H70" s="1540"/>
      <c r="I70" s="1540"/>
      <c r="J70" s="1540"/>
      <c r="K70" s="1540"/>
      <c r="L70" s="1540"/>
      <c r="M70" s="1540"/>
      <c r="N70" s="1541"/>
      <c r="O70" s="1539" t="s">
        <v>194</v>
      </c>
      <c r="P70" s="1540"/>
      <c r="Q70" s="1540"/>
      <c r="R70" s="1540"/>
      <c r="S70" s="1540"/>
      <c r="T70" s="1540"/>
      <c r="U70" s="1540"/>
      <c r="V70" s="1540"/>
      <c r="W70" s="1540"/>
      <c r="X70" s="1540"/>
      <c r="Y70" s="1540"/>
      <c r="Z70" s="1540"/>
      <c r="AA70" s="1541"/>
    </row>
    <row r="71" spans="1:60" x14ac:dyDescent="0.2">
      <c r="A71" s="196"/>
      <c r="B71" s="1536" t="s">
        <v>121</v>
      </c>
      <c r="C71" s="1537"/>
      <c r="D71" s="1537"/>
      <c r="E71" s="1537"/>
      <c r="F71" s="1537"/>
      <c r="G71" s="1537"/>
      <c r="H71" s="1537"/>
      <c r="I71" s="1537"/>
      <c r="J71" s="1537"/>
      <c r="K71" s="1537"/>
      <c r="L71" s="1538"/>
      <c r="M71" s="254"/>
      <c r="N71" s="197"/>
      <c r="O71" s="1536" t="s">
        <v>121</v>
      </c>
      <c r="P71" s="1537"/>
      <c r="Q71" s="1537"/>
      <c r="R71" s="1537"/>
      <c r="S71" s="1537"/>
      <c r="T71" s="1537"/>
      <c r="U71" s="1537"/>
      <c r="V71" s="1537"/>
      <c r="W71" s="1537"/>
      <c r="X71" s="1537"/>
      <c r="Y71" s="1538"/>
      <c r="Z71" s="254"/>
      <c r="AA71" s="197"/>
      <c r="AC71" s="801" t="s">
        <v>267</v>
      </c>
      <c r="AD71" s="106" t="b">
        <f>INDEX(TECH_OPT_FUEL2_Cls1,MATCH(RIGHT(O70),TECH_OPT_ROWS_Cls1,0))&lt;&gt;"N/A"</f>
        <v>0</v>
      </c>
      <c r="AI71" s="99"/>
      <c r="AJ71" s="99"/>
      <c r="AK71" s="99"/>
      <c r="AL71" s="99"/>
      <c r="AM71" s="99"/>
    </row>
    <row r="72" spans="1:60" s="100" customFormat="1" ht="13.5" thickBot="1" x14ac:dyDescent="0.25">
      <c r="A72" s="203"/>
      <c r="B72" s="210" t="s">
        <v>28</v>
      </c>
      <c r="C72" s="211" t="s">
        <v>29</v>
      </c>
      <c r="D72" s="211" t="s">
        <v>30</v>
      </c>
      <c r="E72" s="211" t="s">
        <v>31</v>
      </c>
      <c r="F72" s="211" t="s">
        <v>32</v>
      </c>
      <c r="G72" s="211" t="s">
        <v>33</v>
      </c>
      <c r="H72" s="211" t="s">
        <v>34</v>
      </c>
      <c r="I72" s="211" t="s">
        <v>35</v>
      </c>
      <c r="J72" s="211" t="s">
        <v>36</v>
      </c>
      <c r="K72" s="211" t="s">
        <v>37</v>
      </c>
      <c r="L72" s="249" t="s">
        <v>38</v>
      </c>
      <c r="M72" s="255" t="s">
        <v>122</v>
      </c>
      <c r="N72" s="204" t="s">
        <v>123</v>
      </c>
      <c r="O72" s="210" t="s">
        <v>28</v>
      </c>
      <c r="P72" s="211" t="s">
        <v>29</v>
      </c>
      <c r="Q72" s="211" t="s">
        <v>30</v>
      </c>
      <c r="R72" s="211" t="s">
        <v>31</v>
      </c>
      <c r="S72" s="211" t="s">
        <v>32</v>
      </c>
      <c r="T72" s="211" t="s">
        <v>33</v>
      </c>
      <c r="U72" s="211" t="s">
        <v>34</v>
      </c>
      <c r="V72" s="211" t="s">
        <v>35</v>
      </c>
      <c r="W72" s="211" t="s">
        <v>36</v>
      </c>
      <c r="X72" s="211" t="s">
        <v>37</v>
      </c>
      <c r="Y72" s="249" t="s">
        <v>38</v>
      </c>
      <c r="Z72" s="255" t="s">
        <v>122</v>
      </c>
      <c r="AA72" s="204" t="s">
        <v>123</v>
      </c>
      <c r="AB72" s="783"/>
      <c r="AC72" s="801" t="s">
        <v>268</v>
      </c>
      <c r="AD72" s="106">
        <f>MATCH(RIGHT(O70),TECH_OPT_ROWS_Cls1,0)</f>
        <v>2</v>
      </c>
    </row>
    <row r="73" spans="1:60" s="100" customFormat="1" ht="13.5" thickTop="1" thickBot="1" x14ac:dyDescent="0.25">
      <c r="A73" s="207" t="s">
        <v>124</v>
      </c>
      <c r="B73" s="212">
        <f t="array" ref="B73:L73">TRANSPOSE(Cls3CentTruckShr)</f>
        <v>0.16490316390132354</v>
      </c>
      <c r="C73" s="213">
        <v>0.14150050624583405</v>
      </c>
      <c r="D73" s="213">
        <v>5.0842757108027201E-2</v>
      </c>
      <c r="E73" s="213">
        <v>1.7493235097392132E-2</v>
      </c>
      <c r="F73" s="213">
        <v>6.5645600537602268E-3</v>
      </c>
      <c r="G73" s="213">
        <v>1.3068268788829179E-4</v>
      </c>
      <c r="H73" s="213">
        <v>2.9863696966199553E-3</v>
      </c>
      <c r="I73" s="213">
        <v>0</v>
      </c>
      <c r="J73" s="213">
        <v>0</v>
      </c>
      <c r="K73" s="213">
        <v>5.0573390409248292E-4</v>
      </c>
      <c r="L73" s="250">
        <v>0</v>
      </c>
      <c r="M73" s="256"/>
      <c r="N73" s="208"/>
      <c r="O73" s="212">
        <f t="array" ref="O73:Y73">TRANSPOSE(Cls3NCentTruckShr)</f>
        <v>0.27324001996593789</v>
      </c>
      <c r="P73" s="213">
        <v>0.25610450783680394</v>
      </c>
      <c r="Q73" s="213">
        <v>4.6572125423937315E-2</v>
      </c>
      <c r="R73" s="213">
        <v>2.2779497082922668E-2</v>
      </c>
      <c r="S73" s="213">
        <v>5.0811779544371336E-3</v>
      </c>
      <c r="T73" s="213">
        <v>2.5955840495899339E-3</v>
      </c>
      <c r="U73" s="213">
        <v>4.3441677754441459E-3</v>
      </c>
      <c r="V73" s="213">
        <v>3.7558983870508854E-3</v>
      </c>
      <c r="W73" s="213">
        <v>4.897828379299261E-4</v>
      </c>
      <c r="X73" s="213">
        <v>0</v>
      </c>
      <c r="Y73" s="1052">
        <v>1.1022999100839563E-4</v>
      </c>
      <c r="Z73" s="256"/>
      <c r="AA73" s="208"/>
    </row>
    <row r="74" spans="1:60" s="100" customFormat="1" x14ac:dyDescent="0.2">
      <c r="A74" s="203" t="s">
        <v>125</v>
      </c>
      <c r="B74" s="770">
        <f t="array" ref="B74:L74">TRANSPOSE(Cls3CentVMTShr)</f>
        <v>7.4407503791532936E-2</v>
      </c>
      <c r="C74" s="771">
        <v>0.15052192967997111</v>
      </c>
      <c r="D74" s="771">
        <v>8.9028098283245441E-2</v>
      </c>
      <c r="E74" s="771">
        <v>4.5356257743642811E-2</v>
      </c>
      <c r="F74" s="771">
        <v>2.1016507050137231E-2</v>
      </c>
      <c r="G74" s="771">
        <v>4.9007047894213725E-4</v>
      </c>
      <c r="H74" s="771">
        <v>1.4797621296467818E-2</v>
      </c>
      <c r="I74" s="771">
        <v>0</v>
      </c>
      <c r="J74" s="771">
        <v>0</v>
      </c>
      <c r="K74" s="771">
        <v>3.7103078033661591E-3</v>
      </c>
      <c r="L74" s="1053">
        <v>0</v>
      </c>
      <c r="M74" s="1054"/>
      <c r="N74" s="1055"/>
      <c r="O74" s="770">
        <f t="array" ref="O74:Y74">TRANSPOSE(Cls3NCentVMTShr)</f>
        <v>0.11481596497083862</v>
      </c>
      <c r="P74" s="771">
        <v>0.26987209279577573</v>
      </c>
      <c r="Q74" s="771">
        <v>8.3836105982992667E-2</v>
      </c>
      <c r="R74" s="771">
        <v>5.9842896537765707E-2</v>
      </c>
      <c r="S74" s="771">
        <v>1.6413649143963899E-2</v>
      </c>
      <c r="T74" s="771">
        <v>1.0165768727376887E-2</v>
      </c>
      <c r="U74" s="771">
        <v>2.0700108148562976E-2</v>
      </c>
      <c r="V74" s="771">
        <v>2.0956833812228508E-2</v>
      </c>
      <c r="W74" s="771">
        <v>3.1584958359553582E-3</v>
      </c>
      <c r="X74" s="771">
        <v>0</v>
      </c>
      <c r="Y74" s="772">
        <v>9.0978791723388369E-4</v>
      </c>
      <c r="Z74" s="1054"/>
      <c r="AA74" s="1055"/>
      <c r="AB74" s="1552" t="str">
        <f>"% of miles on f2 for Tech "&amp; RIGHT(O69)&amp;" adopters"</f>
        <v>% of miles on f2 for Tech  adopters</v>
      </c>
      <c r="AC74" s="1553"/>
      <c r="AD74" s="1554"/>
      <c r="AE74" s="1080" t="s">
        <v>295</v>
      </c>
      <c r="AF74" s="1081"/>
      <c r="AG74" s="1081"/>
      <c r="AH74" s="1071" t="s">
        <v>294</v>
      </c>
      <c r="AI74" s="1072"/>
    </row>
    <row r="75" spans="1:60" ht="13.5" thickBot="1" x14ac:dyDescent="0.25">
      <c r="A75" s="789" t="s">
        <v>266</v>
      </c>
      <c r="B75" s="780">
        <f t="array" ref="B75:L75">TRANSPOSE(Cls3CentVMT/OPDAYS_Cls3)</f>
        <v>49.202805162026571</v>
      </c>
      <c r="C75" s="781">
        <v>115.99623692884222</v>
      </c>
      <c r="D75" s="781">
        <v>190.94140758026836</v>
      </c>
      <c r="E75" s="781">
        <v>282.72824571583544</v>
      </c>
      <c r="F75" s="781">
        <v>349.10577157713089</v>
      </c>
      <c r="G75" s="781">
        <v>408.92399999999998</v>
      </c>
      <c r="H75" s="781">
        <v>540.31926836851005</v>
      </c>
      <c r="I75" s="781">
        <v>600</v>
      </c>
      <c r="J75" s="781">
        <v>680</v>
      </c>
      <c r="K75" s="781">
        <v>800.00000000000011</v>
      </c>
      <c r="L75" s="782">
        <v>800</v>
      </c>
      <c r="M75" s="778"/>
      <c r="N75" s="779"/>
      <c r="O75" s="780">
        <f t="array" ref="O75:Y75">TRANSPOSE(Cls3NCentVMT/OPDAYS_Cls3)</f>
        <v>45.820527909508108</v>
      </c>
      <c r="P75" s="781">
        <v>114.90604343518244</v>
      </c>
      <c r="Q75" s="781">
        <v>196.29405935940918</v>
      </c>
      <c r="R75" s="781">
        <v>286.46435582159182</v>
      </c>
      <c r="S75" s="781">
        <v>352.24339419308075</v>
      </c>
      <c r="T75" s="781">
        <v>427.07804424634116</v>
      </c>
      <c r="U75" s="781">
        <v>519.59880241076587</v>
      </c>
      <c r="V75" s="781">
        <v>608.4346682070543</v>
      </c>
      <c r="W75" s="781">
        <v>703.2</v>
      </c>
      <c r="X75" s="781">
        <v>760</v>
      </c>
      <c r="Y75" s="1056">
        <v>900</v>
      </c>
      <c r="Z75" s="790"/>
      <c r="AA75" s="779"/>
      <c r="AB75" s="792" t="s">
        <v>186</v>
      </c>
      <c r="AC75" s="793" t="s">
        <v>15</v>
      </c>
      <c r="AD75" s="794" t="s">
        <v>18</v>
      </c>
      <c r="AE75" s="202" t="s">
        <v>186</v>
      </c>
      <c r="AF75" s="1082" t="s">
        <v>15</v>
      </c>
      <c r="AG75" s="1082" t="s">
        <v>18</v>
      </c>
      <c r="AH75" s="1083" t="s">
        <v>186</v>
      </c>
      <c r="AI75" s="1084" t="s">
        <v>15</v>
      </c>
    </row>
    <row r="76" spans="1:60" ht="13.5" thickTop="1" x14ac:dyDescent="0.2">
      <c r="A76" s="198">
        <v>2007</v>
      </c>
      <c r="B76" s="214">
        <v>0</v>
      </c>
      <c r="C76" s="215">
        <v>0</v>
      </c>
      <c r="D76" s="215">
        <v>0</v>
      </c>
      <c r="E76" s="215">
        <v>0</v>
      </c>
      <c r="F76" s="215">
        <v>0</v>
      </c>
      <c r="G76" s="215">
        <v>0</v>
      </c>
      <c r="H76" s="215">
        <v>0</v>
      </c>
      <c r="I76" s="215">
        <v>0</v>
      </c>
      <c r="J76" s="215">
        <v>0</v>
      </c>
      <c r="K76" s="215">
        <v>0</v>
      </c>
      <c r="L76" s="251">
        <v>0</v>
      </c>
      <c r="M76" s="259">
        <f>SUMPRODUCT(B76:L76,$B$74:$L$74)</f>
        <v>0</v>
      </c>
      <c r="N76" s="728">
        <f>SUMPRODUCT(B76:L76,$B$73:$L$73)</f>
        <v>0</v>
      </c>
      <c r="O76" s="214">
        <v>0</v>
      </c>
      <c r="P76" s="215">
        <v>0</v>
      </c>
      <c r="Q76" s="215">
        <v>0</v>
      </c>
      <c r="R76" s="215">
        <v>0</v>
      </c>
      <c r="S76" s="215">
        <v>0</v>
      </c>
      <c r="T76" s="215">
        <v>0</v>
      </c>
      <c r="U76" s="215">
        <v>0</v>
      </c>
      <c r="V76" s="215">
        <v>0</v>
      </c>
      <c r="W76" s="215">
        <v>0</v>
      </c>
      <c r="X76" s="215">
        <v>0</v>
      </c>
      <c r="Y76" s="251">
        <v>0</v>
      </c>
      <c r="Z76" s="259">
        <f>SUMPRODUCT(O76:Y76,$O$74:$Y$74)</f>
        <v>0</v>
      </c>
      <c r="AA76" s="728">
        <f>SUMPRODUCT(O76:Y76,$O$73:$Y$73)</f>
        <v>0</v>
      </c>
      <c r="AB76" s="795">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796">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069">
        <f>AB76*AH76+AC76*AI76</f>
        <v>0</v>
      </c>
      <c r="AE76" s="1073">
        <f t="shared" ref="AE76:AE90" si="54">SUMPRODUCT($B$74:$L$74,B76:L76)</f>
        <v>0</v>
      </c>
      <c r="AF76" s="1074">
        <f t="shared" ref="AF76:AF90" si="55">SUMPRODUCT($O$74:$Y$74,O76:Y76)</f>
        <v>0</v>
      </c>
      <c r="AG76" s="1074">
        <f t="shared" ref="AG76:AG90" si="56">SUM(AE76:AF76)</f>
        <v>0</v>
      </c>
      <c r="AH76" s="1015">
        <f>IF(AG76&gt;0,AE76/AG76,0)</f>
        <v>0</v>
      </c>
      <c r="AI76" s="1075">
        <f>IF(AG76&gt;0,AF76/AG76,0)</f>
        <v>0</v>
      </c>
      <c r="AJ76" s="99"/>
      <c r="AK76" s="99"/>
      <c r="AL76" s="99"/>
      <c r="AM76" s="99"/>
    </row>
    <row r="77" spans="1:60" x14ac:dyDescent="0.2">
      <c r="A77" s="199">
        <v>2008</v>
      </c>
      <c r="B77" s="216">
        <v>0</v>
      </c>
      <c r="C77" s="217">
        <v>0</v>
      </c>
      <c r="D77" s="217">
        <v>0</v>
      </c>
      <c r="E77" s="217">
        <v>0</v>
      </c>
      <c r="F77" s="217">
        <v>0</v>
      </c>
      <c r="G77" s="217">
        <v>0</v>
      </c>
      <c r="H77" s="217">
        <v>0</v>
      </c>
      <c r="I77" s="217">
        <v>0</v>
      </c>
      <c r="J77" s="217">
        <v>0</v>
      </c>
      <c r="K77" s="217">
        <v>0</v>
      </c>
      <c r="L77" s="252">
        <v>0</v>
      </c>
      <c r="M77" s="168">
        <f t="shared" ref="M77:M119" si="57">SUMPRODUCT(B77:L77,$B$74:$L$74)</f>
        <v>0</v>
      </c>
      <c r="N77" s="170">
        <f t="shared" ref="N77:N119" si="58">SUMPRODUCT(B77:L77,$B$73:$L$73)</f>
        <v>0</v>
      </c>
      <c r="O77" s="216">
        <v>0</v>
      </c>
      <c r="P77" s="217">
        <v>0</v>
      </c>
      <c r="Q77" s="217">
        <v>0</v>
      </c>
      <c r="R77" s="217">
        <v>0</v>
      </c>
      <c r="S77" s="217">
        <v>0</v>
      </c>
      <c r="T77" s="217">
        <v>0</v>
      </c>
      <c r="U77" s="217">
        <v>0</v>
      </c>
      <c r="V77" s="217">
        <v>0</v>
      </c>
      <c r="W77" s="217">
        <v>0</v>
      </c>
      <c r="X77" s="217">
        <v>0</v>
      </c>
      <c r="Y77" s="252">
        <v>0</v>
      </c>
      <c r="Z77" s="168">
        <f t="shared" ref="Z77:Z119" si="59">SUMPRODUCT(O77:Y77,$O$74:$Y$74)</f>
        <v>0</v>
      </c>
      <c r="AA77" s="170">
        <f t="shared" ref="AA77:AA119" si="60">SUMPRODUCT(O77:Y77,$O$73:$Y$73)</f>
        <v>0</v>
      </c>
      <c r="AB77" s="795">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796">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069">
        <f t="shared" ref="AD77:AD101" si="61">AB77*AH77+AC77*AI77</f>
        <v>0</v>
      </c>
      <c r="AE77" s="1073">
        <f t="shared" si="54"/>
        <v>0</v>
      </c>
      <c r="AF77" s="1074">
        <f t="shared" si="55"/>
        <v>0</v>
      </c>
      <c r="AG77" s="1074">
        <f t="shared" si="56"/>
        <v>0</v>
      </c>
      <c r="AH77" s="1015">
        <f t="shared" ref="AH77:AH119" si="62">IF(AG77&gt;0,AE77/AG77,0)</f>
        <v>0</v>
      </c>
      <c r="AI77" s="1075">
        <f t="shared" ref="AI77:AI119" si="63">IF(AG77&gt;0,AF77/AG77,0)</f>
        <v>0</v>
      </c>
      <c r="AJ77" s="99"/>
      <c r="AK77" s="99"/>
      <c r="AL77" s="99"/>
      <c r="AM77" s="99"/>
    </row>
    <row r="78" spans="1:60" x14ac:dyDescent="0.2">
      <c r="A78" s="199">
        <v>2009</v>
      </c>
      <c r="B78" s="216">
        <v>0</v>
      </c>
      <c r="C78" s="217">
        <v>0</v>
      </c>
      <c r="D78" s="217">
        <v>0</v>
      </c>
      <c r="E78" s="217">
        <v>0</v>
      </c>
      <c r="F78" s="217">
        <v>0</v>
      </c>
      <c r="G78" s="217">
        <v>0</v>
      </c>
      <c r="H78" s="217">
        <v>0</v>
      </c>
      <c r="I78" s="217">
        <v>0</v>
      </c>
      <c r="J78" s="217">
        <v>0</v>
      </c>
      <c r="K78" s="217">
        <v>0</v>
      </c>
      <c r="L78" s="252">
        <v>0</v>
      </c>
      <c r="M78" s="168">
        <f t="shared" si="57"/>
        <v>0</v>
      </c>
      <c r="N78" s="170">
        <f t="shared" si="58"/>
        <v>0</v>
      </c>
      <c r="O78" s="216">
        <v>0</v>
      </c>
      <c r="P78" s="217">
        <v>0</v>
      </c>
      <c r="Q78" s="217">
        <v>0</v>
      </c>
      <c r="R78" s="217">
        <v>0</v>
      </c>
      <c r="S78" s="217">
        <v>0</v>
      </c>
      <c r="T78" s="217">
        <v>0</v>
      </c>
      <c r="U78" s="217">
        <v>0</v>
      </c>
      <c r="V78" s="217">
        <v>0</v>
      </c>
      <c r="W78" s="217">
        <v>0</v>
      </c>
      <c r="X78" s="217">
        <v>0</v>
      </c>
      <c r="Y78" s="252">
        <v>0</v>
      </c>
      <c r="Z78" s="168">
        <f t="shared" si="59"/>
        <v>0</v>
      </c>
      <c r="AA78" s="170">
        <f t="shared" si="60"/>
        <v>0</v>
      </c>
      <c r="AB78" s="795">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796">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069">
        <f t="shared" si="61"/>
        <v>0</v>
      </c>
      <c r="AE78" s="1073">
        <f t="shared" si="54"/>
        <v>0</v>
      </c>
      <c r="AF78" s="1074">
        <f t="shared" si="55"/>
        <v>0</v>
      </c>
      <c r="AG78" s="1074">
        <f t="shared" si="56"/>
        <v>0</v>
      </c>
      <c r="AH78" s="1015">
        <f t="shared" si="62"/>
        <v>0</v>
      </c>
      <c r="AI78" s="1075">
        <f t="shared" si="63"/>
        <v>0</v>
      </c>
      <c r="AJ78" s="99"/>
      <c r="AK78" s="99"/>
      <c r="AL78" s="99"/>
      <c r="AM78" s="99"/>
    </row>
    <row r="79" spans="1:60" ht="13.5" thickBot="1" x14ac:dyDescent="0.25">
      <c r="A79" s="200">
        <v>2010</v>
      </c>
      <c r="B79" s="218">
        <v>0</v>
      </c>
      <c r="C79" s="219">
        <v>0</v>
      </c>
      <c r="D79" s="219">
        <v>0</v>
      </c>
      <c r="E79" s="219">
        <v>0</v>
      </c>
      <c r="F79" s="219">
        <v>0</v>
      </c>
      <c r="G79" s="219">
        <v>0</v>
      </c>
      <c r="H79" s="219">
        <v>0</v>
      </c>
      <c r="I79" s="219">
        <v>0</v>
      </c>
      <c r="J79" s="219">
        <v>0</v>
      </c>
      <c r="K79" s="219">
        <v>0</v>
      </c>
      <c r="L79" s="253">
        <v>0</v>
      </c>
      <c r="M79" s="182">
        <f t="shared" si="57"/>
        <v>0</v>
      </c>
      <c r="N79" s="184">
        <f t="shared" si="58"/>
        <v>0</v>
      </c>
      <c r="O79" s="218">
        <v>0</v>
      </c>
      <c r="P79" s="219">
        <v>0</v>
      </c>
      <c r="Q79" s="219">
        <v>0</v>
      </c>
      <c r="R79" s="219">
        <v>0</v>
      </c>
      <c r="S79" s="219">
        <v>0</v>
      </c>
      <c r="T79" s="219">
        <v>0</v>
      </c>
      <c r="U79" s="219">
        <v>0</v>
      </c>
      <c r="V79" s="219">
        <v>0</v>
      </c>
      <c r="W79" s="219">
        <v>0</v>
      </c>
      <c r="X79" s="219">
        <v>0</v>
      </c>
      <c r="Y79" s="253">
        <v>0</v>
      </c>
      <c r="Z79" s="182">
        <f t="shared" si="59"/>
        <v>0</v>
      </c>
      <c r="AA79" s="184">
        <f t="shared" si="60"/>
        <v>0</v>
      </c>
      <c r="AB79" s="795">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796">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069">
        <f t="shared" si="61"/>
        <v>0</v>
      </c>
      <c r="AE79" s="1073">
        <f t="shared" si="54"/>
        <v>0</v>
      </c>
      <c r="AF79" s="1074">
        <f t="shared" si="55"/>
        <v>0</v>
      </c>
      <c r="AG79" s="1074">
        <f t="shared" si="56"/>
        <v>0</v>
      </c>
      <c r="AH79" s="1015">
        <f t="shared" si="62"/>
        <v>0</v>
      </c>
      <c r="AI79" s="1075">
        <f t="shared" si="63"/>
        <v>0</v>
      </c>
      <c r="AJ79" s="99"/>
      <c r="AK79" s="99"/>
      <c r="AL79" s="99"/>
      <c r="AM79" s="99"/>
    </row>
    <row r="80" spans="1:60" x14ac:dyDescent="0.2">
      <c r="A80" s="201">
        <v>2011</v>
      </c>
      <c r="B80" s="214">
        <v>0</v>
      </c>
      <c r="C80" s="215">
        <v>0</v>
      </c>
      <c r="D80" s="215">
        <v>0</v>
      </c>
      <c r="E80" s="215">
        <v>0</v>
      </c>
      <c r="F80" s="215">
        <v>0</v>
      </c>
      <c r="G80" s="215">
        <v>0</v>
      </c>
      <c r="H80" s="215">
        <v>0</v>
      </c>
      <c r="I80" s="215">
        <v>0</v>
      </c>
      <c r="J80" s="215">
        <v>0</v>
      </c>
      <c r="K80" s="215">
        <v>0</v>
      </c>
      <c r="L80" s="251">
        <v>0</v>
      </c>
      <c r="M80" s="154">
        <f t="shared" si="57"/>
        <v>0</v>
      </c>
      <c r="N80" s="156">
        <f t="shared" si="58"/>
        <v>0</v>
      </c>
      <c r="O80" s="214">
        <v>0</v>
      </c>
      <c r="P80" s="215">
        <v>0</v>
      </c>
      <c r="Q80" s="215">
        <v>0</v>
      </c>
      <c r="R80" s="215">
        <v>0</v>
      </c>
      <c r="S80" s="215">
        <v>0</v>
      </c>
      <c r="T80" s="215">
        <v>0</v>
      </c>
      <c r="U80" s="215">
        <v>0</v>
      </c>
      <c r="V80" s="215">
        <v>0</v>
      </c>
      <c r="W80" s="215">
        <v>0</v>
      </c>
      <c r="X80" s="215">
        <v>0</v>
      </c>
      <c r="Y80" s="251">
        <v>0</v>
      </c>
      <c r="Z80" s="154">
        <f t="shared" si="59"/>
        <v>0</v>
      </c>
      <c r="AA80" s="156">
        <f t="shared" si="60"/>
        <v>0</v>
      </c>
      <c r="AB80" s="795">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796">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069">
        <f t="shared" si="61"/>
        <v>0</v>
      </c>
      <c r="AE80" s="1073">
        <f t="shared" si="54"/>
        <v>0</v>
      </c>
      <c r="AF80" s="1074">
        <f t="shared" si="55"/>
        <v>0</v>
      </c>
      <c r="AG80" s="1074">
        <f t="shared" si="56"/>
        <v>0</v>
      </c>
      <c r="AH80" s="1015">
        <f t="shared" si="62"/>
        <v>0</v>
      </c>
      <c r="AI80" s="1075">
        <f t="shared" si="63"/>
        <v>0</v>
      </c>
      <c r="AJ80" s="99"/>
      <c r="AK80" s="99"/>
      <c r="AL80" s="99"/>
      <c r="AM80" s="99"/>
    </row>
    <row r="81" spans="1:39" x14ac:dyDescent="0.2">
      <c r="A81" s="202">
        <v>2012</v>
      </c>
      <c r="B81" s="216">
        <v>0</v>
      </c>
      <c r="C81" s="217">
        <v>0</v>
      </c>
      <c r="D81" s="217">
        <v>0</v>
      </c>
      <c r="E81" s="217">
        <v>0</v>
      </c>
      <c r="F81" s="217">
        <v>0</v>
      </c>
      <c r="G81" s="217">
        <v>0</v>
      </c>
      <c r="H81" s="217">
        <v>0</v>
      </c>
      <c r="I81" s="217">
        <v>0</v>
      </c>
      <c r="J81" s="217">
        <v>0</v>
      </c>
      <c r="K81" s="217">
        <v>0</v>
      </c>
      <c r="L81" s="252">
        <v>0</v>
      </c>
      <c r="M81" s="168">
        <f t="shared" si="57"/>
        <v>0</v>
      </c>
      <c r="N81" s="170">
        <f t="shared" si="58"/>
        <v>0</v>
      </c>
      <c r="O81" s="216">
        <v>0</v>
      </c>
      <c r="P81" s="217">
        <v>0</v>
      </c>
      <c r="Q81" s="217">
        <v>0</v>
      </c>
      <c r="R81" s="217">
        <v>0</v>
      </c>
      <c r="S81" s="217">
        <v>0</v>
      </c>
      <c r="T81" s="217">
        <v>0</v>
      </c>
      <c r="U81" s="217">
        <v>0</v>
      </c>
      <c r="V81" s="217">
        <v>0</v>
      </c>
      <c r="W81" s="217">
        <v>0</v>
      </c>
      <c r="X81" s="217">
        <v>0</v>
      </c>
      <c r="Y81" s="252">
        <v>0</v>
      </c>
      <c r="Z81" s="168">
        <f t="shared" si="59"/>
        <v>0</v>
      </c>
      <c r="AA81" s="170">
        <f t="shared" si="60"/>
        <v>0</v>
      </c>
      <c r="AB81" s="795">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796">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069">
        <f t="shared" si="61"/>
        <v>0</v>
      </c>
      <c r="AE81" s="1073">
        <f t="shared" si="54"/>
        <v>0</v>
      </c>
      <c r="AF81" s="1074">
        <f t="shared" si="55"/>
        <v>0</v>
      </c>
      <c r="AG81" s="1074">
        <f t="shared" si="56"/>
        <v>0</v>
      </c>
      <c r="AH81" s="1015">
        <f t="shared" si="62"/>
        <v>0</v>
      </c>
      <c r="AI81" s="1075">
        <f t="shared" si="63"/>
        <v>0</v>
      </c>
      <c r="AJ81" s="99"/>
      <c r="AK81" s="99"/>
      <c r="AL81" s="99"/>
      <c r="AM81" s="99"/>
    </row>
    <row r="82" spans="1:39" x14ac:dyDescent="0.2">
      <c r="A82" s="202">
        <v>2013</v>
      </c>
      <c r="B82" s="216">
        <v>0</v>
      </c>
      <c r="C82" s="217">
        <v>0</v>
      </c>
      <c r="D82" s="217">
        <v>0</v>
      </c>
      <c r="E82" s="217">
        <v>0</v>
      </c>
      <c r="F82" s="217">
        <v>0</v>
      </c>
      <c r="G82" s="217">
        <v>0</v>
      </c>
      <c r="H82" s="217">
        <v>0</v>
      </c>
      <c r="I82" s="217">
        <v>0</v>
      </c>
      <c r="J82" s="217">
        <v>0</v>
      </c>
      <c r="K82" s="217">
        <v>0</v>
      </c>
      <c r="L82" s="252">
        <v>0</v>
      </c>
      <c r="M82" s="168">
        <f t="shared" si="57"/>
        <v>0</v>
      </c>
      <c r="N82" s="170">
        <f t="shared" si="58"/>
        <v>0</v>
      </c>
      <c r="O82" s="216">
        <v>0</v>
      </c>
      <c r="P82" s="217">
        <v>0</v>
      </c>
      <c r="Q82" s="217">
        <v>0</v>
      </c>
      <c r="R82" s="217">
        <v>0</v>
      </c>
      <c r="S82" s="217">
        <v>0</v>
      </c>
      <c r="T82" s="217">
        <v>0</v>
      </c>
      <c r="U82" s="217">
        <v>0</v>
      </c>
      <c r="V82" s="217">
        <v>0</v>
      </c>
      <c r="W82" s="217">
        <v>0</v>
      </c>
      <c r="X82" s="217">
        <v>0</v>
      </c>
      <c r="Y82" s="252">
        <v>0</v>
      </c>
      <c r="Z82" s="168">
        <f t="shared" si="59"/>
        <v>0</v>
      </c>
      <c r="AA82" s="170">
        <f t="shared" si="60"/>
        <v>0</v>
      </c>
      <c r="AB82" s="795">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796">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069">
        <f t="shared" si="61"/>
        <v>0</v>
      </c>
      <c r="AE82" s="1073">
        <f t="shared" si="54"/>
        <v>0</v>
      </c>
      <c r="AF82" s="1074">
        <f t="shared" si="55"/>
        <v>0</v>
      </c>
      <c r="AG82" s="1074">
        <f t="shared" si="56"/>
        <v>0</v>
      </c>
      <c r="AH82" s="1015">
        <f t="shared" si="62"/>
        <v>0</v>
      </c>
      <c r="AI82" s="1075">
        <f t="shared" si="63"/>
        <v>0</v>
      </c>
      <c r="AJ82" s="99"/>
      <c r="AK82" s="99"/>
      <c r="AL82" s="99"/>
      <c r="AM82" s="99"/>
    </row>
    <row r="83" spans="1:39" x14ac:dyDescent="0.2">
      <c r="A83" s="202">
        <v>2014</v>
      </c>
      <c r="B83" s="216">
        <v>0</v>
      </c>
      <c r="C83" s="217">
        <v>0</v>
      </c>
      <c r="D83" s="217">
        <v>0</v>
      </c>
      <c r="E83" s="217">
        <v>0</v>
      </c>
      <c r="F83" s="217">
        <v>0</v>
      </c>
      <c r="G83" s="217">
        <v>0</v>
      </c>
      <c r="H83" s="217">
        <v>0</v>
      </c>
      <c r="I83" s="217">
        <v>0</v>
      </c>
      <c r="J83" s="217">
        <v>0</v>
      </c>
      <c r="K83" s="217">
        <v>0</v>
      </c>
      <c r="L83" s="252">
        <v>0</v>
      </c>
      <c r="M83" s="168">
        <f t="shared" si="57"/>
        <v>0</v>
      </c>
      <c r="N83" s="170">
        <f t="shared" si="58"/>
        <v>0</v>
      </c>
      <c r="O83" s="216">
        <v>0</v>
      </c>
      <c r="P83" s="217">
        <v>0</v>
      </c>
      <c r="Q83" s="217">
        <v>0</v>
      </c>
      <c r="R83" s="217">
        <v>0</v>
      </c>
      <c r="S83" s="217">
        <v>0</v>
      </c>
      <c r="T83" s="217">
        <v>0</v>
      </c>
      <c r="U83" s="217">
        <v>0</v>
      </c>
      <c r="V83" s="217">
        <v>0</v>
      </c>
      <c r="W83" s="217">
        <v>0</v>
      </c>
      <c r="X83" s="217">
        <v>0</v>
      </c>
      <c r="Y83" s="252">
        <v>0</v>
      </c>
      <c r="Z83" s="168">
        <f t="shared" si="59"/>
        <v>0</v>
      </c>
      <c r="AA83" s="170">
        <f t="shared" si="60"/>
        <v>0</v>
      </c>
      <c r="AB83" s="795">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796">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069">
        <f t="shared" si="61"/>
        <v>0</v>
      </c>
      <c r="AE83" s="1073">
        <f t="shared" si="54"/>
        <v>0</v>
      </c>
      <c r="AF83" s="1074">
        <f t="shared" si="55"/>
        <v>0</v>
      </c>
      <c r="AG83" s="1074">
        <f t="shared" si="56"/>
        <v>0</v>
      </c>
      <c r="AH83" s="1015">
        <f t="shared" si="62"/>
        <v>0</v>
      </c>
      <c r="AI83" s="1075">
        <f t="shared" si="63"/>
        <v>0</v>
      </c>
      <c r="AJ83" s="99"/>
      <c r="AK83" s="99"/>
      <c r="AL83" s="99"/>
      <c r="AM83" s="99"/>
    </row>
    <row r="84" spans="1:39" ht="13.5" thickBot="1" x14ac:dyDescent="0.25">
      <c r="A84" s="200">
        <v>2015</v>
      </c>
      <c r="B84" s="218">
        <v>0</v>
      </c>
      <c r="C84" s="219">
        <v>0</v>
      </c>
      <c r="D84" s="219">
        <v>0</v>
      </c>
      <c r="E84" s="219">
        <v>0</v>
      </c>
      <c r="F84" s="219">
        <v>0</v>
      </c>
      <c r="G84" s="219">
        <v>0</v>
      </c>
      <c r="H84" s="219">
        <v>0</v>
      </c>
      <c r="I84" s="219">
        <v>0</v>
      </c>
      <c r="J84" s="219">
        <v>0</v>
      </c>
      <c r="K84" s="219">
        <v>0</v>
      </c>
      <c r="L84" s="253">
        <v>0</v>
      </c>
      <c r="M84" s="182">
        <f t="shared" si="57"/>
        <v>0</v>
      </c>
      <c r="N84" s="184">
        <f t="shared" si="58"/>
        <v>0</v>
      </c>
      <c r="O84" s="218">
        <v>0</v>
      </c>
      <c r="P84" s="219">
        <v>0</v>
      </c>
      <c r="Q84" s="219">
        <v>0</v>
      </c>
      <c r="R84" s="219">
        <v>0</v>
      </c>
      <c r="S84" s="219">
        <v>0</v>
      </c>
      <c r="T84" s="219">
        <v>0</v>
      </c>
      <c r="U84" s="219">
        <v>0</v>
      </c>
      <c r="V84" s="219">
        <v>0</v>
      </c>
      <c r="W84" s="219">
        <v>0</v>
      </c>
      <c r="X84" s="219">
        <v>0</v>
      </c>
      <c r="Y84" s="253">
        <v>0</v>
      </c>
      <c r="Z84" s="182">
        <f t="shared" si="59"/>
        <v>0</v>
      </c>
      <c r="AA84" s="184">
        <f t="shared" si="60"/>
        <v>0</v>
      </c>
      <c r="AB84" s="795">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796">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069">
        <f t="shared" si="61"/>
        <v>0</v>
      </c>
      <c r="AE84" s="1073">
        <f t="shared" si="54"/>
        <v>0</v>
      </c>
      <c r="AF84" s="1074">
        <f t="shared" si="55"/>
        <v>0</v>
      </c>
      <c r="AG84" s="1074">
        <f t="shared" si="56"/>
        <v>0</v>
      </c>
      <c r="AH84" s="1015">
        <f t="shared" si="62"/>
        <v>0</v>
      </c>
      <c r="AI84" s="1075">
        <f t="shared" si="63"/>
        <v>0</v>
      </c>
      <c r="AJ84" s="99"/>
      <c r="AK84" s="99"/>
      <c r="AL84" s="99"/>
      <c r="AM84" s="99"/>
    </row>
    <row r="85" spans="1:39" x14ac:dyDescent="0.2">
      <c r="A85" s="201">
        <v>2016</v>
      </c>
      <c r="B85" s="214">
        <v>0</v>
      </c>
      <c r="C85" s="215">
        <v>0</v>
      </c>
      <c r="D85" s="215">
        <v>0</v>
      </c>
      <c r="E85" s="215">
        <v>0</v>
      </c>
      <c r="F85" s="215">
        <v>0</v>
      </c>
      <c r="G85" s="215">
        <v>0</v>
      </c>
      <c r="H85" s="215">
        <v>0</v>
      </c>
      <c r="I85" s="215">
        <v>0</v>
      </c>
      <c r="J85" s="215">
        <v>0</v>
      </c>
      <c r="K85" s="215">
        <v>0</v>
      </c>
      <c r="L85" s="251">
        <v>0</v>
      </c>
      <c r="M85" s="154">
        <f t="shared" si="57"/>
        <v>0</v>
      </c>
      <c r="N85" s="156">
        <f t="shared" si="58"/>
        <v>0</v>
      </c>
      <c r="O85" s="214">
        <v>0</v>
      </c>
      <c r="P85" s="215">
        <v>0</v>
      </c>
      <c r="Q85" s="215">
        <v>0</v>
      </c>
      <c r="R85" s="215">
        <v>0</v>
      </c>
      <c r="S85" s="215">
        <v>0</v>
      </c>
      <c r="T85" s="215">
        <v>0</v>
      </c>
      <c r="U85" s="215">
        <v>0</v>
      </c>
      <c r="V85" s="215">
        <v>0</v>
      </c>
      <c r="W85" s="215">
        <v>0</v>
      </c>
      <c r="X85" s="215">
        <v>0</v>
      </c>
      <c r="Y85" s="251">
        <v>0</v>
      </c>
      <c r="Z85" s="154">
        <f t="shared" si="59"/>
        <v>0</v>
      </c>
      <c r="AA85" s="156">
        <f t="shared" si="60"/>
        <v>0</v>
      </c>
      <c r="AB85" s="795">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796">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069">
        <f t="shared" si="61"/>
        <v>0</v>
      </c>
      <c r="AE85" s="1073">
        <f t="shared" si="54"/>
        <v>0</v>
      </c>
      <c r="AF85" s="1074">
        <f t="shared" si="55"/>
        <v>0</v>
      </c>
      <c r="AG85" s="1074">
        <f t="shared" si="56"/>
        <v>0</v>
      </c>
      <c r="AH85" s="1015">
        <f t="shared" si="62"/>
        <v>0</v>
      </c>
      <c r="AI85" s="1075">
        <f t="shared" si="63"/>
        <v>0</v>
      </c>
      <c r="AJ85" s="99"/>
      <c r="AK85" s="99"/>
      <c r="AL85" s="99"/>
      <c r="AM85" s="99"/>
    </row>
    <row r="86" spans="1:39" x14ac:dyDescent="0.2">
      <c r="A86" s="202">
        <v>2017</v>
      </c>
      <c r="B86" s="216">
        <v>0</v>
      </c>
      <c r="C86" s="217">
        <v>0</v>
      </c>
      <c r="D86" s="217">
        <v>0</v>
      </c>
      <c r="E86" s="217">
        <v>0</v>
      </c>
      <c r="F86" s="217">
        <v>0</v>
      </c>
      <c r="G86" s="217">
        <v>0</v>
      </c>
      <c r="H86" s="217">
        <v>0</v>
      </c>
      <c r="I86" s="217">
        <v>0</v>
      </c>
      <c r="J86" s="217">
        <v>0</v>
      </c>
      <c r="K86" s="217">
        <v>0</v>
      </c>
      <c r="L86" s="252">
        <v>0</v>
      </c>
      <c r="M86" s="168">
        <f t="shared" si="57"/>
        <v>0</v>
      </c>
      <c r="N86" s="170">
        <f t="shared" si="58"/>
        <v>0</v>
      </c>
      <c r="O86" s="216">
        <v>0</v>
      </c>
      <c r="P86" s="217">
        <v>0</v>
      </c>
      <c r="Q86" s="217">
        <v>0</v>
      </c>
      <c r="R86" s="217">
        <v>0</v>
      </c>
      <c r="S86" s="217">
        <v>0</v>
      </c>
      <c r="T86" s="217">
        <v>0</v>
      </c>
      <c r="U86" s="217">
        <v>0</v>
      </c>
      <c r="V86" s="217">
        <v>0</v>
      </c>
      <c r="W86" s="217">
        <v>0</v>
      </c>
      <c r="X86" s="217">
        <v>0</v>
      </c>
      <c r="Y86" s="252">
        <v>0</v>
      </c>
      <c r="Z86" s="168">
        <f t="shared" si="59"/>
        <v>0</v>
      </c>
      <c r="AA86" s="170">
        <f t="shared" si="60"/>
        <v>0</v>
      </c>
      <c r="AB86" s="795">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796">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069">
        <f t="shared" si="61"/>
        <v>0</v>
      </c>
      <c r="AE86" s="1073">
        <f t="shared" si="54"/>
        <v>0</v>
      </c>
      <c r="AF86" s="1074">
        <f t="shared" si="55"/>
        <v>0</v>
      </c>
      <c r="AG86" s="1074">
        <f t="shared" si="56"/>
        <v>0</v>
      </c>
      <c r="AH86" s="1015">
        <f t="shared" si="62"/>
        <v>0</v>
      </c>
      <c r="AI86" s="1075">
        <f t="shared" si="63"/>
        <v>0</v>
      </c>
      <c r="AJ86" s="99"/>
      <c r="AK86" s="99"/>
      <c r="AL86" s="99"/>
      <c r="AM86" s="99"/>
    </row>
    <row r="87" spans="1:39" x14ac:dyDescent="0.2">
      <c r="A87" s="202">
        <v>2018</v>
      </c>
      <c r="B87" s="216">
        <v>0</v>
      </c>
      <c r="C87" s="217">
        <v>0</v>
      </c>
      <c r="D87" s="217">
        <v>0</v>
      </c>
      <c r="E87" s="217">
        <v>0</v>
      </c>
      <c r="F87" s="217">
        <v>0</v>
      </c>
      <c r="G87" s="217">
        <v>0</v>
      </c>
      <c r="H87" s="217">
        <v>0</v>
      </c>
      <c r="I87" s="217">
        <v>0</v>
      </c>
      <c r="J87" s="217">
        <v>0</v>
      </c>
      <c r="K87" s="217">
        <v>0</v>
      </c>
      <c r="L87" s="252">
        <v>0</v>
      </c>
      <c r="M87" s="168">
        <f t="shared" si="57"/>
        <v>0</v>
      </c>
      <c r="N87" s="170">
        <f t="shared" si="58"/>
        <v>0</v>
      </c>
      <c r="O87" s="216">
        <v>0</v>
      </c>
      <c r="P87" s="217">
        <v>0</v>
      </c>
      <c r="Q87" s="217">
        <v>0</v>
      </c>
      <c r="R87" s="217">
        <v>0</v>
      </c>
      <c r="S87" s="217">
        <v>0</v>
      </c>
      <c r="T87" s="217">
        <v>0</v>
      </c>
      <c r="U87" s="217">
        <v>0</v>
      </c>
      <c r="V87" s="217">
        <v>0</v>
      </c>
      <c r="W87" s="217">
        <v>0</v>
      </c>
      <c r="X87" s="217">
        <v>0</v>
      </c>
      <c r="Y87" s="252">
        <v>0</v>
      </c>
      <c r="Z87" s="168">
        <f t="shared" si="59"/>
        <v>0</v>
      </c>
      <c r="AA87" s="170">
        <f t="shared" si="60"/>
        <v>0</v>
      </c>
      <c r="AB87" s="795">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796">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069">
        <f t="shared" si="61"/>
        <v>0</v>
      </c>
      <c r="AE87" s="1073">
        <f t="shared" si="54"/>
        <v>0</v>
      </c>
      <c r="AF87" s="1074">
        <f t="shared" si="55"/>
        <v>0</v>
      </c>
      <c r="AG87" s="1074">
        <f t="shared" si="56"/>
        <v>0</v>
      </c>
      <c r="AH87" s="1015">
        <f t="shared" si="62"/>
        <v>0</v>
      </c>
      <c r="AI87" s="1075">
        <f t="shared" si="63"/>
        <v>0</v>
      </c>
      <c r="AJ87" s="99"/>
      <c r="AK87" s="99"/>
      <c r="AL87" s="99"/>
      <c r="AM87" s="99"/>
    </row>
    <row r="88" spans="1:39" x14ac:dyDescent="0.2">
      <c r="A88" s="202">
        <v>2019</v>
      </c>
      <c r="B88" s="216">
        <v>0</v>
      </c>
      <c r="C88" s="217">
        <v>0</v>
      </c>
      <c r="D88" s="217">
        <v>0</v>
      </c>
      <c r="E88" s="217">
        <v>0</v>
      </c>
      <c r="F88" s="217">
        <v>0</v>
      </c>
      <c r="G88" s="217">
        <v>0</v>
      </c>
      <c r="H88" s="217">
        <v>0</v>
      </c>
      <c r="I88" s="217">
        <v>0</v>
      </c>
      <c r="J88" s="217">
        <v>0</v>
      </c>
      <c r="K88" s="217">
        <v>0</v>
      </c>
      <c r="L88" s="252">
        <v>0</v>
      </c>
      <c r="M88" s="168">
        <f t="shared" si="57"/>
        <v>0</v>
      </c>
      <c r="N88" s="170">
        <f t="shared" si="58"/>
        <v>0</v>
      </c>
      <c r="O88" s="216">
        <v>0</v>
      </c>
      <c r="P88" s="217">
        <v>0</v>
      </c>
      <c r="Q88" s="217">
        <v>0</v>
      </c>
      <c r="R88" s="217">
        <v>0</v>
      </c>
      <c r="S88" s="217">
        <v>0</v>
      </c>
      <c r="T88" s="217">
        <v>0</v>
      </c>
      <c r="U88" s="217">
        <v>0</v>
      </c>
      <c r="V88" s="217">
        <v>0</v>
      </c>
      <c r="W88" s="217">
        <v>0</v>
      </c>
      <c r="X88" s="217">
        <v>0</v>
      </c>
      <c r="Y88" s="252">
        <v>0</v>
      </c>
      <c r="Z88" s="168">
        <f t="shared" si="59"/>
        <v>0</v>
      </c>
      <c r="AA88" s="170">
        <f t="shared" si="60"/>
        <v>0</v>
      </c>
      <c r="AB88" s="795">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796">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069">
        <f t="shared" si="61"/>
        <v>0</v>
      </c>
      <c r="AE88" s="1073">
        <f t="shared" si="54"/>
        <v>0</v>
      </c>
      <c r="AF88" s="1074">
        <f t="shared" si="55"/>
        <v>0</v>
      </c>
      <c r="AG88" s="1074">
        <f t="shared" si="56"/>
        <v>0</v>
      </c>
      <c r="AH88" s="1015">
        <f t="shared" si="62"/>
        <v>0</v>
      </c>
      <c r="AI88" s="1075">
        <f t="shared" si="63"/>
        <v>0</v>
      </c>
      <c r="AJ88" s="99"/>
      <c r="AK88" s="99"/>
      <c r="AL88" s="99"/>
      <c r="AM88" s="99"/>
    </row>
    <row r="89" spans="1:39" ht="13.5" thickBot="1" x14ac:dyDescent="0.25">
      <c r="A89" s="200">
        <v>2020</v>
      </c>
      <c r="B89" s="218">
        <v>0</v>
      </c>
      <c r="C89" s="219">
        <v>0</v>
      </c>
      <c r="D89" s="219">
        <v>0</v>
      </c>
      <c r="E89" s="219">
        <v>0</v>
      </c>
      <c r="F89" s="219">
        <v>0</v>
      </c>
      <c r="G89" s="219">
        <v>0</v>
      </c>
      <c r="H89" s="219">
        <v>0</v>
      </c>
      <c r="I89" s="219">
        <v>0</v>
      </c>
      <c r="J89" s="219">
        <v>0</v>
      </c>
      <c r="K89" s="219">
        <v>0</v>
      </c>
      <c r="L89" s="253">
        <v>0</v>
      </c>
      <c r="M89" s="182">
        <f t="shared" si="57"/>
        <v>0</v>
      </c>
      <c r="N89" s="184">
        <f t="shared" si="58"/>
        <v>0</v>
      </c>
      <c r="O89" s="218">
        <v>0</v>
      </c>
      <c r="P89" s="219">
        <v>0</v>
      </c>
      <c r="Q89" s="219">
        <v>0</v>
      </c>
      <c r="R89" s="219">
        <v>0</v>
      </c>
      <c r="S89" s="219">
        <v>0</v>
      </c>
      <c r="T89" s="219">
        <v>0</v>
      </c>
      <c r="U89" s="219">
        <v>0</v>
      </c>
      <c r="V89" s="219">
        <v>0</v>
      </c>
      <c r="W89" s="219">
        <v>0</v>
      </c>
      <c r="X89" s="219">
        <v>0</v>
      </c>
      <c r="Y89" s="253">
        <v>0</v>
      </c>
      <c r="Z89" s="182">
        <f t="shared" si="59"/>
        <v>0</v>
      </c>
      <c r="AA89" s="184">
        <f t="shared" si="60"/>
        <v>0</v>
      </c>
      <c r="AB89" s="795">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796">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069">
        <f t="shared" si="61"/>
        <v>0</v>
      </c>
      <c r="AE89" s="1073">
        <f t="shared" si="54"/>
        <v>0</v>
      </c>
      <c r="AF89" s="1074">
        <f t="shared" si="55"/>
        <v>0</v>
      </c>
      <c r="AG89" s="1074">
        <f t="shared" si="56"/>
        <v>0</v>
      </c>
      <c r="AH89" s="1015">
        <f t="shared" si="62"/>
        <v>0</v>
      </c>
      <c r="AI89" s="1075">
        <f t="shared" si="63"/>
        <v>0</v>
      </c>
      <c r="AJ89" s="99"/>
      <c r="AK89" s="99"/>
      <c r="AL89" s="99"/>
      <c r="AM89" s="99"/>
    </row>
    <row r="90" spans="1:39" x14ac:dyDescent="0.2">
      <c r="A90" s="201">
        <v>2021</v>
      </c>
      <c r="B90" s="214">
        <v>0</v>
      </c>
      <c r="C90" s="215">
        <v>0</v>
      </c>
      <c r="D90" s="215">
        <v>0</v>
      </c>
      <c r="E90" s="215">
        <v>0</v>
      </c>
      <c r="F90" s="215">
        <v>0</v>
      </c>
      <c r="G90" s="215">
        <v>0</v>
      </c>
      <c r="H90" s="215">
        <v>0</v>
      </c>
      <c r="I90" s="215">
        <v>0</v>
      </c>
      <c r="J90" s="215">
        <v>0</v>
      </c>
      <c r="K90" s="215">
        <v>0</v>
      </c>
      <c r="L90" s="251">
        <v>0</v>
      </c>
      <c r="M90" s="154">
        <f t="shared" si="57"/>
        <v>0</v>
      </c>
      <c r="N90" s="156">
        <f t="shared" si="58"/>
        <v>0</v>
      </c>
      <c r="O90" s="214">
        <v>0</v>
      </c>
      <c r="P90" s="215">
        <v>0</v>
      </c>
      <c r="Q90" s="215">
        <v>0</v>
      </c>
      <c r="R90" s="215">
        <v>0</v>
      </c>
      <c r="S90" s="215">
        <v>0</v>
      </c>
      <c r="T90" s="215">
        <v>0</v>
      </c>
      <c r="U90" s="215">
        <v>0</v>
      </c>
      <c r="V90" s="215">
        <v>0</v>
      </c>
      <c r="W90" s="215">
        <v>0</v>
      </c>
      <c r="X90" s="215">
        <v>0</v>
      </c>
      <c r="Y90" s="251">
        <v>0</v>
      </c>
      <c r="Z90" s="154">
        <f t="shared" si="59"/>
        <v>0</v>
      </c>
      <c r="AA90" s="156">
        <f t="shared" si="60"/>
        <v>0</v>
      </c>
      <c r="AB90" s="795">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796">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069">
        <f t="shared" si="61"/>
        <v>0</v>
      </c>
      <c r="AE90" s="1073">
        <f t="shared" si="54"/>
        <v>0</v>
      </c>
      <c r="AF90" s="1074">
        <f t="shared" si="55"/>
        <v>0</v>
      </c>
      <c r="AG90" s="1074">
        <f t="shared" si="56"/>
        <v>0</v>
      </c>
      <c r="AH90" s="1015">
        <f t="shared" si="62"/>
        <v>0</v>
      </c>
      <c r="AI90" s="1075">
        <f t="shared" si="63"/>
        <v>0</v>
      </c>
      <c r="AJ90" s="99"/>
      <c r="AK90" s="99"/>
      <c r="AL90" s="99"/>
      <c r="AM90" s="99"/>
    </row>
    <row r="91" spans="1:39" x14ac:dyDescent="0.2">
      <c r="A91" s="202">
        <v>2022</v>
      </c>
      <c r="B91" s="216">
        <v>0</v>
      </c>
      <c r="C91" s="217">
        <v>0</v>
      </c>
      <c r="D91" s="217">
        <v>0</v>
      </c>
      <c r="E91" s="217">
        <v>0</v>
      </c>
      <c r="F91" s="217">
        <v>0</v>
      </c>
      <c r="G91" s="217">
        <v>0</v>
      </c>
      <c r="H91" s="217">
        <v>0</v>
      </c>
      <c r="I91" s="217">
        <v>0</v>
      </c>
      <c r="J91" s="217">
        <v>0</v>
      </c>
      <c r="K91" s="217">
        <v>0</v>
      </c>
      <c r="L91" s="252">
        <v>0</v>
      </c>
      <c r="M91" s="168">
        <f t="shared" si="57"/>
        <v>0</v>
      </c>
      <c r="N91" s="170">
        <f t="shared" si="58"/>
        <v>0</v>
      </c>
      <c r="O91" s="216">
        <v>0</v>
      </c>
      <c r="P91" s="217">
        <v>0</v>
      </c>
      <c r="Q91" s="217">
        <v>0</v>
      </c>
      <c r="R91" s="217">
        <v>0</v>
      </c>
      <c r="S91" s="217">
        <v>0</v>
      </c>
      <c r="T91" s="217">
        <v>0</v>
      </c>
      <c r="U91" s="217">
        <v>0</v>
      </c>
      <c r="V91" s="217">
        <v>0</v>
      </c>
      <c r="W91" s="217">
        <v>0</v>
      </c>
      <c r="X91" s="217">
        <v>0</v>
      </c>
      <c r="Y91" s="252">
        <v>0</v>
      </c>
      <c r="Z91" s="168">
        <f t="shared" si="59"/>
        <v>0</v>
      </c>
      <c r="AA91" s="170">
        <f t="shared" si="60"/>
        <v>0</v>
      </c>
      <c r="AB91" s="795">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796">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069">
        <f t="shared" si="61"/>
        <v>0</v>
      </c>
      <c r="AE91" s="1073">
        <f>SUMPRODUCT($B$74:$L$74,B91:L91)</f>
        <v>0</v>
      </c>
      <c r="AF91" s="1074">
        <f>SUMPRODUCT($O$74:$Y$74,O91:Y91)</f>
        <v>0</v>
      </c>
      <c r="AG91" s="1074">
        <f>SUM(AE91:AF91)</f>
        <v>0</v>
      </c>
      <c r="AH91" s="1015">
        <f t="shared" si="62"/>
        <v>0</v>
      </c>
      <c r="AI91" s="1075">
        <f t="shared" si="63"/>
        <v>0</v>
      </c>
      <c r="AJ91" s="99"/>
      <c r="AK91" s="387"/>
      <c r="AL91" s="387"/>
      <c r="AM91" s="387"/>
    </row>
    <row r="92" spans="1:39" x14ac:dyDescent="0.2">
      <c r="A92" s="202">
        <v>2023</v>
      </c>
      <c r="B92" s="216">
        <v>0</v>
      </c>
      <c r="C92" s="217">
        <v>0</v>
      </c>
      <c r="D92" s="217">
        <v>0</v>
      </c>
      <c r="E92" s="217">
        <v>0</v>
      </c>
      <c r="F92" s="217">
        <v>0</v>
      </c>
      <c r="G92" s="217">
        <v>0</v>
      </c>
      <c r="H92" s="217">
        <v>0</v>
      </c>
      <c r="I92" s="217">
        <v>0</v>
      </c>
      <c r="J92" s="217">
        <v>0</v>
      </c>
      <c r="K92" s="217">
        <v>0</v>
      </c>
      <c r="L92" s="252">
        <v>0</v>
      </c>
      <c r="M92" s="168">
        <f t="shared" si="57"/>
        <v>0</v>
      </c>
      <c r="N92" s="170">
        <f t="shared" si="58"/>
        <v>0</v>
      </c>
      <c r="O92" s="216">
        <v>0</v>
      </c>
      <c r="P92" s="217">
        <v>0</v>
      </c>
      <c r="Q92" s="217">
        <v>0</v>
      </c>
      <c r="R92" s="217">
        <v>0</v>
      </c>
      <c r="S92" s="217">
        <v>0</v>
      </c>
      <c r="T92" s="217">
        <v>0</v>
      </c>
      <c r="U92" s="217">
        <v>0</v>
      </c>
      <c r="V92" s="217">
        <v>0</v>
      </c>
      <c r="W92" s="217">
        <v>0</v>
      </c>
      <c r="X92" s="217">
        <v>0</v>
      </c>
      <c r="Y92" s="252">
        <v>0</v>
      </c>
      <c r="Z92" s="168">
        <f t="shared" si="59"/>
        <v>0</v>
      </c>
      <c r="AA92" s="170">
        <f t="shared" si="60"/>
        <v>0</v>
      </c>
      <c r="AB92" s="795">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796">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069">
        <f t="shared" si="61"/>
        <v>0</v>
      </c>
      <c r="AE92" s="1073">
        <f t="shared" ref="AE92:AE119" si="64">SUMPRODUCT($B$74:$L$74,B92:L92)</f>
        <v>0</v>
      </c>
      <c r="AF92" s="1074">
        <f t="shared" ref="AF92:AF119" si="65">SUMPRODUCT($O$74:$Y$74,O92:Y92)</f>
        <v>0</v>
      </c>
      <c r="AG92" s="1074">
        <f t="shared" ref="AG92:AG119" si="66">SUM(AE92:AF92)</f>
        <v>0</v>
      </c>
      <c r="AH92" s="1015">
        <f t="shared" si="62"/>
        <v>0</v>
      </c>
      <c r="AI92" s="1075">
        <f t="shared" si="63"/>
        <v>0</v>
      </c>
      <c r="AJ92" s="99"/>
      <c r="AK92" s="387"/>
      <c r="AL92" s="387"/>
      <c r="AM92" s="387"/>
    </row>
    <row r="93" spans="1:39" x14ac:dyDescent="0.2">
      <c r="A93" s="202">
        <v>2024</v>
      </c>
      <c r="B93" s="216">
        <v>0</v>
      </c>
      <c r="C93" s="217">
        <v>0</v>
      </c>
      <c r="D93" s="217">
        <v>0</v>
      </c>
      <c r="E93" s="217">
        <v>0</v>
      </c>
      <c r="F93" s="217">
        <v>0</v>
      </c>
      <c r="G93" s="217">
        <v>0</v>
      </c>
      <c r="H93" s="217">
        <v>0</v>
      </c>
      <c r="I93" s="217">
        <v>0</v>
      </c>
      <c r="J93" s="217">
        <v>0</v>
      </c>
      <c r="K93" s="217">
        <v>0</v>
      </c>
      <c r="L93" s="252">
        <v>0</v>
      </c>
      <c r="M93" s="168">
        <f t="shared" si="57"/>
        <v>0</v>
      </c>
      <c r="N93" s="170">
        <f t="shared" si="58"/>
        <v>0</v>
      </c>
      <c r="O93" s="216">
        <v>0</v>
      </c>
      <c r="P93" s="217">
        <v>0</v>
      </c>
      <c r="Q93" s="217">
        <v>0</v>
      </c>
      <c r="R93" s="217">
        <v>0</v>
      </c>
      <c r="S93" s="217">
        <v>0</v>
      </c>
      <c r="T93" s="217">
        <v>0</v>
      </c>
      <c r="U93" s="217">
        <v>0</v>
      </c>
      <c r="V93" s="217">
        <v>0</v>
      </c>
      <c r="W93" s="217">
        <v>0</v>
      </c>
      <c r="X93" s="217">
        <v>0</v>
      </c>
      <c r="Y93" s="252">
        <v>0</v>
      </c>
      <c r="Z93" s="168">
        <f t="shared" si="59"/>
        <v>0</v>
      </c>
      <c r="AA93" s="170">
        <f t="shared" si="60"/>
        <v>0</v>
      </c>
      <c r="AB93" s="795">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796">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069">
        <f t="shared" si="61"/>
        <v>0</v>
      </c>
      <c r="AE93" s="1073">
        <f t="shared" si="64"/>
        <v>0</v>
      </c>
      <c r="AF93" s="1074">
        <f t="shared" si="65"/>
        <v>0</v>
      </c>
      <c r="AG93" s="1074">
        <f t="shared" si="66"/>
        <v>0</v>
      </c>
      <c r="AH93" s="1015">
        <f t="shared" si="62"/>
        <v>0</v>
      </c>
      <c r="AI93" s="1075">
        <f t="shared" si="63"/>
        <v>0</v>
      </c>
      <c r="AJ93" s="99"/>
      <c r="AK93" s="387"/>
      <c r="AL93" s="387"/>
      <c r="AM93" s="387"/>
    </row>
    <row r="94" spans="1:39" ht="13.5" thickBot="1" x14ac:dyDescent="0.25">
      <c r="A94" s="200">
        <v>2025</v>
      </c>
      <c r="B94" s="218">
        <v>0</v>
      </c>
      <c r="C94" s="219">
        <v>0</v>
      </c>
      <c r="D94" s="219">
        <v>0</v>
      </c>
      <c r="E94" s="219">
        <v>0</v>
      </c>
      <c r="F94" s="219">
        <v>0</v>
      </c>
      <c r="G94" s="219">
        <v>0</v>
      </c>
      <c r="H94" s="219">
        <v>0</v>
      </c>
      <c r="I94" s="219">
        <v>0</v>
      </c>
      <c r="J94" s="219">
        <v>0</v>
      </c>
      <c r="K94" s="219">
        <v>0</v>
      </c>
      <c r="L94" s="253">
        <v>0</v>
      </c>
      <c r="M94" s="182">
        <f t="shared" si="57"/>
        <v>0</v>
      </c>
      <c r="N94" s="184">
        <f t="shared" si="58"/>
        <v>0</v>
      </c>
      <c r="O94" s="218">
        <v>0</v>
      </c>
      <c r="P94" s="219">
        <v>0</v>
      </c>
      <c r="Q94" s="219">
        <v>0</v>
      </c>
      <c r="R94" s="219">
        <v>0</v>
      </c>
      <c r="S94" s="219">
        <v>0</v>
      </c>
      <c r="T94" s="219">
        <v>0</v>
      </c>
      <c r="U94" s="219">
        <v>0</v>
      </c>
      <c r="V94" s="219">
        <v>0</v>
      </c>
      <c r="W94" s="219">
        <v>0</v>
      </c>
      <c r="X94" s="219">
        <v>0</v>
      </c>
      <c r="Y94" s="253">
        <v>0</v>
      </c>
      <c r="Z94" s="182">
        <f t="shared" si="59"/>
        <v>0</v>
      </c>
      <c r="AA94" s="184">
        <f t="shared" si="60"/>
        <v>0</v>
      </c>
      <c r="AB94" s="795">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796">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069">
        <f t="shared" si="61"/>
        <v>0</v>
      </c>
      <c r="AE94" s="1073">
        <f t="shared" si="64"/>
        <v>0</v>
      </c>
      <c r="AF94" s="1074">
        <f t="shared" si="65"/>
        <v>0</v>
      </c>
      <c r="AG94" s="1074">
        <f t="shared" si="66"/>
        <v>0</v>
      </c>
      <c r="AH94" s="1015">
        <f t="shared" si="62"/>
        <v>0</v>
      </c>
      <c r="AI94" s="1075">
        <f t="shared" si="63"/>
        <v>0</v>
      </c>
      <c r="AJ94" s="99"/>
      <c r="AK94" s="387"/>
      <c r="AL94" s="387"/>
      <c r="AM94" s="387"/>
    </row>
    <row r="95" spans="1:39" x14ac:dyDescent="0.2">
      <c r="A95" s="201">
        <v>2026</v>
      </c>
      <c r="B95" s="214">
        <v>0</v>
      </c>
      <c r="C95" s="215">
        <v>4.6557659672692995E-3</v>
      </c>
      <c r="D95" s="215">
        <v>1.5497420885164218E-2</v>
      </c>
      <c r="E95" s="215">
        <v>2.0577569945361987E-2</v>
      </c>
      <c r="F95" s="215">
        <v>2.2035694292976481E-2</v>
      </c>
      <c r="G95" s="215">
        <v>2.2737588090440516E-2</v>
      </c>
      <c r="H95" s="215">
        <v>2.3283004838734217E-2</v>
      </c>
      <c r="I95" s="215">
        <v>2.3459585225489733E-2</v>
      </c>
      <c r="J95" s="215">
        <v>2.3746501628472434E-2</v>
      </c>
      <c r="K95" s="215">
        <v>2.3858779970430899E-2</v>
      </c>
      <c r="L95" s="251">
        <v>2.3858779970430899E-2</v>
      </c>
      <c r="M95" s="154">
        <f t="shared" si="57"/>
        <v>3.921135204311592E-3</v>
      </c>
      <c r="N95" s="156">
        <f t="shared" si="58"/>
        <v>2.0359170176615332E-3</v>
      </c>
      <c r="O95" s="214">
        <v>0</v>
      </c>
      <c r="P95" s="215">
        <v>5.5260161389667503E-3</v>
      </c>
      <c r="Q95" s="215">
        <v>1.6276087752177017E-2</v>
      </c>
      <c r="R95" s="215">
        <v>2.116606325009239E-2</v>
      </c>
      <c r="S95" s="215">
        <v>2.2470742207495668E-2</v>
      </c>
      <c r="T95" s="215">
        <v>2.3057623794365989E-2</v>
      </c>
      <c r="U95" s="215">
        <v>2.3459700112701983E-2</v>
      </c>
      <c r="V95" s="215">
        <v>2.3747061909416521E-2</v>
      </c>
      <c r="W95" s="215">
        <v>2.38615021714127E-2</v>
      </c>
      <c r="X95" s="215">
        <v>2.3858022508968884E-2</v>
      </c>
      <c r="Y95" s="251">
        <v>2.3844341921915004E-2</v>
      </c>
      <c r="Z95" s="154">
        <f t="shared" si="59"/>
        <v>5.8060465495610863E-3</v>
      </c>
      <c r="AA95" s="156">
        <f t="shared" si="60"/>
        <v>3.0348475009232159E-3</v>
      </c>
      <c r="AB95" s="795">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796">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069">
        <f t="shared" si="61"/>
        <v>0</v>
      </c>
      <c r="AE95" s="1073">
        <f t="shared" si="64"/>
        <v>3.921135204311592E-3</v>
      </c>
      <c r="AF95" s="1074">
        <f t="shared" si="65"/>
        <v>5.8060465495610863E-3</v>
      </c>
      <c r="AG95" s="1074">
        <f t="shared" si="66"/>
        <v>9.7271817538726775E-3</v>
      </c>
      <c r="AH95" s="1015">
        <f t="shared" si="62"/>
        <v>0.40311112751136502</v>
      </c>
      <c r="AI95" s="1075">
        <f t="shared" si="63"/>
        <v>0.59688887248863509</v>
      </c>
      <c r="AJ95" s="99"/>
      <c r="AK95" s="387"/>
      <c r="AL95" s="387"/>
      <c r="AM95" s="387"/>
    </row>
    <row r="96" spans="1:39" x14ac:dyDescent="0.2">
      <c r="A96" s="202">
        <v>2027</v>
      </c>
      <c r="B96" s="216">
        <v>0</v>
      </c>
      <c r="C96" s="217">
        <v>0</v>
      </c>
      <c r="D96" s="217">
        <v>0</v>
      </c>
      <c r="E96" s="217">
        <v>4.7553065984640332E-4</v>
      </c>
      <c r="F96" s="217">
        <v>4.0247820502090081E-3</v>
      </c>
      <c r="G96" s="217">
        <v>1.0968971003638766E-2</v>
      </c>
      <c r="H96" s="217">
        <v>2.8477313037241308E-2</v>
      </c>
      <c r="I96" s="217">
        <v>3.369961433751828E-2</v>
      </c>
      <c r="J96" s="217">
        <v>4.052402408587609E-2</v>
      </c>
      <c r="K96" s="217">
        <v>4.6714254100021023E-2</v>
      </c>
      <c r="L96" s="252">
        <v>4.6714254100021023E-2</v>
      </c>
      <c r="M96" s="168">
        <f t="shared" si="57"/>
        <v>7.0625147576153734E-4</v>
      </c>
      <c r="N96" s="170">
        <f t="shared" si="58"/>
        <v>1.4484171451307836E-4</v>
      </c>
      <c r="O96" s="216">
        <v>0</v>
      </c>
      <c r="P96" s="217">
        <v>0</v>
      </c>
      <c r="Q96" s="217">
        <v>0</v>
      </c>
      <c r="R96" s="217">
        <v>1.0274977773634783E-3</v>
      </c>
      <c r="S96" s="217">
        <v>6.4686104300582994E-3</v>
      </c>
      <c r="T96" s="217">
        <v>1.5859943281880097E-2</v>
      </c>
      <c r="U96" s="217">
        <v>2.8477074690913411E-2</v>
      </c>
      <c r="V96" s="217">
        <v>3.7157757501523656E-2</v>
      </c>
      <c r="W96" s="217">
        <v>4.3721212301745908E-2</v>
      </c>
      <c r="X96" s="217">
        <v>4.6705430147572551E-2</v>
      </c>
      <c r="Y96" s="252">
        <v>5.0651583105717088E-2</v>
      </c>
      <c r="Z96" s="168">
        <f t="shared" si="59"/>
        <v>1.8812534006118827E-3</v>
      </c>
      <c r="AA96" s="170">
        <f t="shared" si="60"/>
        <v>3.8770703381183706E-4</v>
      </c>
      <c r="AB96" s="795">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796">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069">
        <f t="shared" si="61"/>
        <v>0</v>
      </c>
      <c r="AE96" s="1073">
        <f t="shared" si="64"/>
        <v>7.0625147576153734E-4</v>
      </c>
      <c r="AF96" s="1074">
        <f t="shared" si="65"/>
        <v>1.8812534006118827E-3</v>
      </c>
      <c r="AG96" s="1074">
        <f t="shared" si="66"/>
        <v>2.58750487637342E-3</v>
      </c>
      <c r="AH96" s="1015">
        <f t="shared" si="62"/>
        <v>0.27294691585331471</v>
      </c>
      <c r="AI96" s="1075">
        <f t="shared" si="63"/>
        <v>0.72705308414668535</v>
      </c>
      <c r="AJ96" s="99"/>
      <c r="AK96" s="387"/>
      <c r="AL96" s="387"/>
      <c r="AM96" s="387"/>
    </row>
    <row r="97" spans="1:39" x14ac:dyDescent="0.2">
      <c r="A97" s="202">
        <v>2028</v>
      </c>
      <c r="B97" s="216">
        <v>0</v>
      </c>
      <c r="C97" s="217">
        <v>8.7698649467653038E-3</v>
      </c>
      <c r="D97" s="217">
        <v>6.8612423967788022E-2</v>
      </c>
      <c r="E97" s="217">
        <v>0.1069707250475761</v>
      </c>
      <c r="F97" s="217">
        <v>0.11933720046606412</v>
      </c>
      <c r="G97" s="217">
        <v>0.12428059049682576</v>
      </c>
      <c r="H97" s="217">
        <v>0.13100476087255361</v>
      </c>
      <c r="I97" s="217">
        <v>0.13203749514165891</v>
      </c>
      <c r="J97" s="217">
        <v>0.13274746473135984</v>
      </c>
      <c r="K97" s="217">
        <v>0.1340587866560104</v>
      </c>
      <c r="L97" s="252">
        <v>0.1340587866560104</v>
      </c>
      <c r="M97" s="168">
        <f t="shared" si="57"/>
        <v>1.7285197960670635E-2</v>
      </c>
      <c r="N97" s="170">
        <f t="shared" si="58"/>
        <v>7.8593134401196089E-3</v>
      </c>
      <c r="O97" s="216">
        <v>0</v>
      </c>
      <c r="P97" s="217">
        <v>1.1131077123343503E-2</v>
      </c>
      <c r="Q97" s="217">
        <v>7.6530521821425307E-2</v>
      </c>
      <c r="R97" s="217">
        <v>0.10992407691421385</v>
      </c>
      <c r="S97" s="217">
        <v>0.12166814523852973</v>
      </c>
      <c r="T97" s="217">
        <v>0.12623323477399892</v>
      </c>
      <c r="U97" s="217">
        <v>0.13100038710569761</v>
      </c>
      <c r="V97" s="217">
        <v>0.13197745467963667</v>
      </c>
      <c r="W97" s="217">
        <v>0.1325668545800133</v>
      </c>
      <c r="X97" s="217">
        <v>0.13400530965777888</v>
      </c>
      <c r="Y97" s="252">
        <v>0.13416142775985088</v>
      </c>
      <c r="Z97" s="168">
        <f t="shared" si="59"/>
        <v>2.5296761366237604E-2</v>
      </c>
      <c r="AA97" s="170">
        <f t="shared" si="60"/>
        <v>1.100928889947619E-2</v>
      </c>
      <c r="AB97" s="795">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796">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069">
        <f t="shared" si="61"/>
        <v>0</v>
      </c>
      <c r="AE97" s="1073">
        <f t="shared" si="64"/>
        <v>1.7285197960670635E-2</v>
      </c>
      <c r="AF97" s="1074">
        <f t="shared" si="65"/>
        <v>2.5296761366237604E-2</v>
      </c>
      <c r="AG97" s="1074">
        <f t="shared" si="66"/>
        <v>4.2581959326908239E-2</v>
      </c>
      <c r="AH97" s="1015">
        <f t="shared" si="62"/>
        <v>0.40592772699747132</v>
      </c>
      <c r="AI97" s="1075">
        <f t="shared" si="63"/>
        <v>0.59407227300252863</v>
      </c>
      <c r="AJ97" s="99"/>
      <c r="AK97" s="387"/>
      <c r="AL97" s="387"/>
      <c r="AM97" s="387"/>
    </row>
    <row r="98" spans="1:39" x14ac:dyDescent="0.2">
      <c r="A98" s="202">
        <v>2029</v>
      </c>
      <c r="B98" s="216">
        <v>0</v>
      </c>
      <c r="C98" s="217">
        <v>0</v>
      </c>
      <c r="D98" s="217">
        <v>0</v>
      </c>
      <c r="E98" s="217">
        <v>8.7869480202480473E-3</v>
      </c>
      <c r="F98" s="217">
        <v>4.1586490012834737E-2</v>
      </c>
      <c r="G98" s="217">
        <v>7.8336381212962575E-2</v>
      </c>
      <c r="H98" s="217">
        <v>0.14858785244059722</v>
      </c>
      <c r="I98" s="217">
        <v>0.16987924306985869</v>
      </c>
      <c r="J98" s="217">
        <v>0.18950358248617402</v>
      </c>
      <c r="K98" s="217">
        <v>0.21187136908875903</v>
      </c>
      <c r="L98" s="252">
        <v>0.21187136908875903</v>
      </c>
      <c r="M98" s="168">
        <f t="shared" si="57"/>
        <v>4.295790951302488E-3</v>
      </c>
      <c r="N98" s="170">
        <f t="shared" si="58"/>
        <v>9.8783516194658337E-4</v>
      </c>
      <c r="O98" s="216">
        <v>0</v>
      </c>
      <c r="P98" s="217">
        <v>0</v>
      </c>
      <c r="Q98" s="217">
        <v>0</v>
      </c>
      <c r="R98" s="217">
        <v>1.4881604376115951E-2</v>
      </c>
      <c r="S98" s="217">
        <v>5.5620346963858973E-2</v>
      </c>
      <c r="T98" s="217">
        <v>0.10505315934350512</v>
      </c>
      <c r="U98" s="217">
        <v>0.14857719095789648</v>
      </c>
      <c r="V98" s="217">
        <v>0.18323933088050554</v>
      </c>
      <c r="W98" s="217">
        <v>0.20128985531359117</v>
      </c>
      <c r="X98" s="217">
        <v>0.20636425905396369</v>
      </c>
      <c r="Y98" s="252">
        <v>0.22019724952978248</v>
      </c>
      <c r="Z98" s="168">
        <f t="shared" si="59"/>
        <v>1.0623223386515755E-2</v>
      </c>
      <c r="AA98" s="170">
        <f t="shared" si="60"/>
        <v>2.3508198588782941E-3</v>
      </c>
      <c r="AB98" s="795">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796">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069">
        <f t="shared" si="61"/>
        <v>0</v>
      </c>
      <c r="AE98" s="1073">
        <f t="shared" si="64"/>
        <v>4.295790951302488E-3</v>
      </c>
      <c r="AF98" s="1074">
        <f t="shared" si="65"/>
        <v>1.0623223386515755E-2</v>
      </c>
      <c r="AG98" s="1074">
        <f t="shared" si="66"/>
        <v>1.4919014337818243E-2</v>
      </c>
      <c r="AH98" s="1015">
        <f t="shared" si="62"/>
        <v>0.28794066779687166</v>
      </c>
      <c r="AI98" s="1075">
        <f t="shared" si="63"/>
        <v>0.71205933220312834</v>
      </c>
      <c r="AJ98" s="99"/>
      <c r="AK98" s="387"/>
      <c r="AL98" s="387"/>
      <c r="AM98" s="387"/>
    </row>
    <row r="99" spans="1:39" ht="13.5" thickBot="1" x14ac:dyDescent="0.25">
      <c r="A99" s="200">
        <v>2030</v>
      </c>
      <c r="B99" s="218">
        <v>0</v>
      </c>
      <c r="C99" s="219">
        <v>0</v>
      </c>
      <c r="D99" s="219">
        <v>0</v>
      </c>
      <c r="E99" s="219">
        <v>0</v>
      </c>
      <c r="F99" s="219">
        <v>5.316858213036779E-4</v>
      </c>
      <c r="G99" s="219">
        <v>5.4231745953311067E-3</v>
      </c>
      <c r="H99" s="219">
        <v>5.491724165268367E-2</v>
      </c>
      <c r="I99" s="219">
        <v>8.8879143714252193E-2</v>
      </c>
      <c r="J99" s="219">
        <v>0.13273108151678811</v>
      </c>
      <c r="K99" s="219">
        <v>0.19293688747320881</v>
      </c>
      <c r="L99" s="253">
        <v>0.19293688747320881</v>
      </c>
      <c r="M99" s="182">
        <f t="shared" si="57"/>
        <v>1.5423317003552539E-3</v>
      </c>
      <c r="N99" s="184">
        <f t="shared" si="58"/>
        <v>2.6577691017549385E-4</v>
      </c>
      <c r="O99" s="218">
        <v>0</v>
      </c>
      <c r="P99" s="219">
        <v>0</v>
      </c>
      <c r="Q99" s="219">
        <v>0</v>
      </c>
      <c r="R99" s="219">
        <v>0</v>
      </c>
      <c r="S99" s="219">
        <v>1.2778010555515701E-3</v>
      </c>
      <c r="T99" s="219">
        <v>1.2856045568149441E-2</v>
      </c>
      <c r="U99" s="219">
        <v>5.4893381604586261E-2</v>
      </c>
      <c r="V99" s="219">
        <v>0.11416651376788303</v>
      </c>
      <c r="W99" s="219">
        <v>0.16207681283100137</v>
      </c>
      <c r="X99" s="219">
        <v>0.19293688747320881</v>
      </c>
      <c r="Y99" s="253">
        <v>0.24243775491415562</v>
      </c>
      <c r="Z99" s="182">
        <f t="shared" si="59"/>
        <v>4.4130184345401733E-3</v>
      </c>
      <c r="AA99" s="184">
        <f t="shared" si="60"/>
        <v>8.1323191863422021E-4</v>
      </c>
      <c r="AB99" s="795">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796">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069">
        <f t="shared" si="61"/>
        <v>0</v>
      </c>
      <c r="AE99" s="1073">
        <f t="shared" si="64"/>
        <v>1.5423317003552539E-3</v>
      </c>
      <c r="AF99" s="1074">
        <f t="shared" si="65"/>
        <v>4.4130184345401733E-3</v>
      </c>
      <c r="AG99" s="1074">
        <f t="shared" si="66"/>
        <v>5.9553501348954272E-3</v>
      </c>
      <c r="AH99" s="1015">
        <f t="shared" si="62"/>
        <v>0.25898253929990572</v>
      </c>
      <c r="AI99" s="1075">
        <f t="shared" si="63"/>
        <v>0.74101746070009422</v>
      </c>
      <c r="AJ99" s="99"/>
      <c r="AK99" s="387"/>
      <c r="AL99" s="387"/>
      <c r="AM99" s="387"/>
    </row>
    <row r="100" spans="1:39" x14ac:dyDescent="0.2">
      <c r="A100" s="201">
        <v>2031</v>
      </c>
      <c r="B100" s="214">
        <v>0</v>
      </c>
      <c r="C100" s="215">
        <v>0</v>
      </c>
      <c r="D100" s="215">
        <v>0</v>
      </c>
      <c r="E100" s="215">
        <v>0</v>
      </c>
      <c r="F100" s="215">
        <v>7.6615641481240539E-4</v>
      </c>
      <c r="G100" s="215">
        <v>7.5851783314225827E-3</v>
      </c>
      <c r="H100" s="215">
        <v>7.3164429095346831E-2</v>
      </c>
      <c r="I100" s="215">
        <v>0.11640588386534298</v>
      </c>
      <c r="J100" s="215">
        <v>0.17041868466045257</v>
      </c>
      <c r="K100" s="215">
        <v>0.24215168201190038</v>
      </c>
      <c r="L100" s="251">
        <v>0.24215168201190038</v>
      </c>
      <c r="M100" s="154">
        <f t="shared" si="57"/>
        <v>2.0009359931633633E-3</v>
      </c>
      <c r="N100" s="156">
        <f t="shared" si="58"/>
        <v>3.4698108073535504E-4</v>
      </c>
      <c r="O100" s="214">
        <v>0</v>
      </c>
      <c r="P100" s="215">
        <v>0</v>
      </c>
      <c r="Q100" s="215">
        <v>0</v>
      </c>
      <c r="R100" s="215">
        <v>0</v>
      </c>
      <c r="S100" s="215">
        <v>1.8223846778675976E-3</v>
      </c>
      <c r="T100" s="215">
        <v>1.7725677699743352E-2</v>
      </c>
      <c r="U100" s="215">
        <v>7.3105211383121288E-2</v>
      </c>
      <c r="V100" s="215">
        <v>0.13668535914262328</v>
      </c>
      <c r="W100" s="215">
        <v>0.2056536706429338</v>
      </c>
      <c r="X100" s="215">
        <v>0.2294752549659291</v>
      </c>
      <c r="Y100" s="251">
        <v>0.28748209191015645</v>
      </c>
      <c r="Z100" s="154">
        <f t="shared" si="59"/>
        <v>5.4989892567259818E-3</v>
      </c>
      <c r="AA100" s="156">
        <f t="shared" si="60"/>
        <v>1.0186407574446822E-3</v>
      </c>
      <c r="AB100" s="795">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796">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069">
        <f t="shared" si="61"/>
        <v>0</v>
      </c>
      <c r="AE100" s="1073">
        <f t="shared" si="64"/>
        <v>2.0009359931633633E-3</v>
      </c>
      <c r="AF100" s="1074">
        <f t="shared" si="65"/>
        <v>5.4989892567259818E-3</v>
      </c>
      <c r="AG100" s="1074">
        <f t="shared" si="66"/>
        <v>7.4999252498893446E-3</v>
      </c>
      <c r="AH100" s="1015">
        <f t="shared" si="62"/>
        <v>0.26679412480716197</v>
      </c>
      <c r="AI100" s="1075">
        <f t="shared" si="63"/>
        <v>0.73320587519283809</v>
      </c>
      <c r="AJ100" s="99"/>
      <c r="AK100" s="387"/>
      <c r="AL100" s="387"/>
      <c r="AM100" s="387"/>
    </row>
    <row r="101" spans="1:39" x14ac:dyDescent="0.2">
      <c r="A101" s="202">
        <v>2032</v>
      </c>
      <c r="B101" s="216">
        <v>0</v>
      </c>
      <c r="C101" s="217">
        <v>0</v>
      </c>
      <c r="D101" s="217">
        <v>1.6668506376917296E-2</v>
      </c>
      <c r="E101" s="217">
        <v>0.16031501079663774</v>
      </c>
      <c r="F101" s="217">
        <v>0.25337713255698091</v>
      </c>
      <c r="G101" s="217">
        <v>0.32315268711147876</v>
      </c>
      <c r="H101" s="217">
        <v>0.39348193406018334</v>
      </c>
      <c r="I101" s="217">
        <v>0.41067146109168107</v>
      </c>
      <c r="J101" s="217">
        <v>0.4240033136394899</v>
      </c>
      <c r="K101" s="217">
        <v>0.43149390110291586</v>
      </c>
      <c r="L101" s="252">
        <v>0.43149390110291586</v>
      </c>
      <c r="M101" s="168">
        <f t="shared" si="57"/>
        <v>2.1662296094289154E-2</v>
      </c>
      <c r="N101" s="170">
        <f t="shared" si="58"/>
        <v>6.7507444784932853E-3</v>
      </c>
      <c r="O101" s="216">
        <v>0</v>
      </c>
      <c r="P101" s="217">
        <v>0</v>
      </c>
      <c r="Q101" s="217">
        <v>3.1972788849360105E-2</v>
      </c>
      <c r="R101" s="217">
        <v>0.18534773320752873</v>
      </c>
      <c r="S101" s="217">
        <v>0.28187825893067042</v>
      </c>
      <c r="T101" s="217">
        <v>0.34854689705192105</v>
      </c>
      <c r="U101" s="217">
        <v>0.40312351843820038</v>
      </c>
      <c r="V101" s="217">
        <v>0.41721343772133573</v>
      </c>
      <c r="W101" s="217">
        <v>0.42777289651041789</v>
      </c>
      <c r="X101" s="217">
        <v>0.43109647121000699</v>
      </c>
      <c r="Y101" s="252">
        <v>0.43309579386702879</v>
      </c>
      <c r="Z101" s="168">
        <f t="shared" si="59"/>
        <v>4.0775434665950759E-2</v>
      </c>
      <c r="AA101" s="170">
        <f t="shared" si="60"/>
        <v>1.1623628686830895E-2</v>
      </c>
      <c r="AB101" s="795">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796">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069">
        <f t="shared" si="61"/>
        <v>0</v>
      </c>
      <c r="AE101" s="1073">
        <f t="shared" si="64"/>
        <v>2.1662296094289154E-2</v>
      </c>
      <c r="AF101" s="1074">
        <f t="shared" si="65"/>
        <v>4.0775434665950759E-2</v>
      </c>
      <c r="AG101" s="1074">
        <f t="shared" si="66"/>
        <v>6.243773076023991E-2</v>
      </c>
      <c r="AH101" s="1015">
        <f t="shared" si="62"/>
        <v>0.34694239893938644</v>
      </c>
      <c r="AI101" s="1075">
        <f t="shared" si="63"/>
        <v>0.65305760106061361</v>
      </c>
      <c r="AJ101" s="99"/>
      <c r="AK101" s="387"/>
      <c r="AL101" s="387"/>
      <c r="AM101" s="387"/>
    </row>
    <row r="102" spans="1:39" x14ac:dyDescent="0.2">
      <c r="A102" s="202">
        <v>2033</v>
      </c>
      <c r="B102" s="216">
        <v>0</v>
      </c>
      <c r="C102" s="217">
        <v>8.5262632545823934E-4</v>
      </c>
      <c r="D102" s="217">
        <v>0.10695159206751498</v>
      </c>
      <c r="E102" s="217">
        <v>0.30181526766954914</v>
      </c>
      <c r="F102" s="217">
        <v>0.37099719678803078</v>
      </c>
      <c r="G102" s="217">
        <v>0.40679534424441577</v>
      </c>
      <c r="H102" s="217">
        <v>0.44844539789943033</v>
      </c>
      <c r="I102" s="217">
        <v>0.45094215444990859</v>
      </c>
      <c r="J102" s="217">
        <v>0.45717354618897266</v>
      </c>
      <c r="K102" s="217">
        <v>0.45245307225818798</v>
      </c>
      <c r="L102" s="252">
        <v>0.45245307225818798</v>
      </c>
      <c r="M102" s="168">
        <f t="shared" si="57"/>
        <v>3.9650335807305065E-2</v>
      </c>
      <c r="N102" s="170">
        <f t="shared" si="58"/>
        <v>1.489472540044744E-2</v>
      </c>
      <c r="O102" s="216">
        <v>0</v>
      </c>
      <c r="P102" s="217">
        <v>1.7114204682863738E-3</v>
      </c>
      <c r="Q102" s="217">
        <v>0.13889526452745055</v>
      </c>
      <c r="R102" s="217">
        <v>0.31717411593975398</v>
      </c>
      <c r="S102" s="217">
        <v>0.38303091334534234</v>
      </c>
      <c r="T102" s="217">
        <v>0.42693278584812488</v>
      </c>
      <c r="U102" s="217">
        <v>0.44775697392693958</v>
      </c>
      <c r="V102" s="217">
        <v>0.45352692399093081</v>
      </c>
      <c r="W102" s="217">
        <v>0.45396936964554058</v>
      </c>
      <c r="X102" s="217">
        <v>0.44772116730506012</v>
      </c>
      <c r="Y102" s="252">
        <v>0.44176542208633124</v>
      </c>
      <c r="Z102" s="168">
        <f t="shared" si="59"/>
        <v>6.2322834898491025E-2</v>
      </c>
      <c r="AA102" s="170">
        <f t="shared" si="60"/>
        <v>2.1105979852244688E-2</v>
      </c>
      <c r="AB102" s="795">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796">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069">
        <f>AB102*AH102+AC102*AI102</f>
        <v>0</v>
      </c>
      <c r="AE102" s="1073">
        <f t="shared" si="64"/>
        <v>3.9650335807305065E-2</v>
      </c>
      <c r="AF102" s="1074">
        <f t="shared" si="65"/>
        <v>6.2322834898491025E-2</v>
      </c>
      <c r="AG102" s="1074">
        <f t="shared" si="66"/>
        <v>0.10197317070579609</v>
      </c>
      <c r="AH102" s="1015">
        <f t="shared" si="62"/>
        <v>0.38883105755042846</v>
      </c>
      <c r="AI102" s="1075">
        <f t="shared" si="63"/>
        <v>0.61116894244957154</v>
      </c>
      <c r="AJ102" s="99"/>
      <c r="AK102" s="387"/>
      <c r="AL102" s="387"/>
      <c r="AM102" s="387"/>
    </row>
    <row r="103" spans="1:39" x14ac:dyDescent="0.2">
      <c r="A103" s="202">
        <v>2034</v>
      </c>
      <c r="B103" s="216">
        <v>0</v>
      </c>
      <c r="C103" s="217">
        <v>5.3918484097623624E-3</v>
      </c>
      <c r="D103" s="217">
        <v>0.16402760853258339</v>
      </c>
      <c r="E103" s="217">
        <v>0.34576672835300171</v>
      </c>
      <c r="F103" s="217">
        <v>0.39906344986489778</v>
      </c>
      <c r="G103" s="217">
        <v>0.43154273934380438</v>
      </c>
      <c r="H103" s="217">
        <v>0.4565996410577351</v>
      </c>
      <c r="I103" s="217">
        <v>0.46281213312912434</v>
      </c>
      <c r="J103" s="217">
        <v>0.4593614843689765</v>
      </c>
      <c r="K103" s="217">
        <v>0.45148679601997882</v>
      </c>
      <c r="L103" s="252">
        <v>0.45148679601997882</v>
      </c>
      <c r="M103" s="168">
        <f t="shared" si="57"/>
        <v>4.8127492050495879E-2</v>
      </c>
      <c r="N103" s="170">
        <f t="shared" si="58"/>
        <v>1.9419122465704798E-2</v>
      </c>
      <c r="O103" s="216">
        <v>0</v>
      </c>
      <c r="P103" s="217">
        <v>8.4900905263678352E-3</v>
      </c>
      <c r="Q103" s="217">
        <v>0.20348794488751801</v>
      </c>
      <c r="R103" s="217">
        <v>0.36080590389667794</v>
      </c>
      <c r="S103" s="217">
        <v>0.42057840203928465</v>
      </c>
      <c r="T103" s="217">
        <v>0.44825524375664805</v>
      </c>
      <c r="U103" s="217">
        <v>0.4615245655888322</v>
      </c>
      <c r="V103" s="217">
        <v>0.45615703050937745</v>
      </c>
      <c r="W103" s="217">
        <v>0.45254423966426355</v>
      </c>
      <c r="X103" s="217">
        <v>0.4437788832885925</v>
      </c>
      <c r="Y103" s="252">
        <v>0.4359527617563167</v>
      </c>
      <c r="Z103" s="168">
        <f t="shared" si="59"/>
        <v>7.3341830410065423E-2</v>
      </c>
      <c r="AA103" s="170">
        <f t="shared" si="60"/>
        <v>2.715863451955499E-2</v>
      </c>
      <c r="AB103" s="795">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796">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069">
        <f t="shared" ref="AD103:AD119" si="67">AB103*AH103+AC103*AI103</f>
        <v>0</v>
      </c>
      <c r="AE103" s="1073">
        <f t="shared" si="64"/>
        <v>4.8127492050495879E-2</v>
      </c>
      <c r="AF103" s="1074">
        <f t="shared" si="65"/>
        <v>7.3341830410065423E-2</v>
      </c>
      <c r="AG103" s="1074">
        <f t="shared" si="66"/>
        <v>0.1214693224605613</v>
      </c>
      <c r="AH103" s="1015">
        <f t="shared" si="62"/>
        <v>0.39621108503442859</v>
      </c>
      <c r="AI103" s="1075">
        <f t="shared" si="63"/>
        <v>0.60378891496557141</v>
      </c>
      <c r="AJ103" s="99"/>
      <c r="AK103" s="387"/>
      <c r="AL103" s="387"/>
      <c r="AM103" s="387"/>
    </row>
    <row r="104" spans="1:39" ht="13.5" thickBot="1" x14ac:dyDescent="0.25">
      <c r="A104" s="200">
        <v>2035</v>
      </c>
      <c r="B104" s="218">
        <v>0</v>
      </c>
      <c r="C104" s="219">
        <v>2.2518028444681565E-2</v>
      </c>
      <c r="D104" s="219">
        <v>0.22945534870539552</v>
      </c>
      <c r="E104" s="219">
        <v>0.38696569548102144</v>
      </c>
      <c r="F104" s="219">
        <v>0.43197575303220603</v>
      </c>
      <c r="G104" s="219">
        <v>0.4566898623151206</v>
      </c>
      <c r="H104" s="219">
        <v>0.46099051299180549</v>
      </c>
      <c r="I104" s="219">
        <v>0.45749110202728727</v>
      </c>
      <c r="J104" s="219">
        <v>0.44846334611489336</v>
      </c>
      <c r="K104" s="219">
        <v>0.4403846660186731</v>
      </c>
      <c r="L104" s="253">
        <v>0.4403846660186731</v>
      </c>
      <c r="M104" s="182">
        <f t="shared" si="57"/>
        <v>5.9126703626398998E-2</v>
      </c>
      <c r="N104" s="184">
        <f t="shared" si="58"/>
        <v>2.6116554657784993E-2</v>
      </c>
      <c r="O104" s="218">
        <v>0</v>
      </c>
      <c r="P104" s="219">
        <v>2.9099595297160583E-2</v>
      </c>
      <c r="Q104" s="219">
        <v>0.2723693129922502</v>
      </c>
      <c r="R104" s="219">
        <v>0.3985713405029449</v>
      </c>
      <c r="S104" s="219">
        <v>0.44205453678221573</v>
      </c>
      <c r="T104" s="219">
        <v>0.45994811678321118</v>
      </c>
      <c r="U104" s="219">
        <v>0.45724779876796073</v>
      </c>
      <c r="V104" s="219">
        <v>0.44968836457382844</v>
      </c>
      <c r="W104" s="219">
        <v>0.43696442219322773</v>
      </c>
      <c r="X104" s="219">
        <v>0.43082238148456387</v>
      </c>
      <c r="Y104" s="253">
        <v>0.41876767476920712</v>
      </c>
      <c r="Z104" s="182">
        <f t="shared" si="59"/>
        <v>8.7120932304022569E-2</v>
      </c>
      <c r="AA104" s="184">
        <f t="shared" si="60"/>
        <v>3.659212517675732E-2</v>
      </c>
      <c r="AB104" s="795">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796">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069">
        <f t="shared" si="67"/>
        <v>0</v>
      </c>
      <c r="AE104" s="1073">
        <f t="shared" si="64"/>
        <v>5.9126703626398998E-2</v>
      </c>
      <c r="AF104" s="1074">
        <f t="shared" si="65"/>
        <v>8.7120932304022569E-2</v>
      </c>
      <c r="AG104" s="1074">
        <f t="shared" si="66"/>
        <v>0.14624763593042156</v>
      </c>
      <c r="AH104" s="1015">
        <f t="shared" si="62"/>
        <v>0.40429168820567452</v>
      </c>
      <c r="AI104" s="1075">
        <f t="shared" si="63"/>
        <v>0.59570831179432548</v>
      </c>
      <c r="AJ104" s="99"/>
      <c r="AK104" s="387"/>
      <c r="AL104" s="387"/>
      <c r="AM104" s="387"/>
    </row>
    <row r="105" spans="1:39" x14ac:dyDescent="0.2">
      <c r="A105" s="201">
        <v>2036</v>
      </c>
      <c r="B105" s="214">
        <v>0</v>
      </c>
      <c r="C105" s="215">
        <v>0.10556274518666436</v>
      </c>
      <c r="D105" s="215">
        <v>0.34239608582506187</v>
      </c>
      <c r="E105" s="215">
        <v>0.44280791033237793</v>
      </c>
      <c r="F105" s="215">
        <v>0.46698110703130219</v>
      </c>
      <c r="G105" s="215">
        <v>0.47427254547862974</v>
      </c>
      <c r="H105" s="215">
        <v>0.45924897108159213</v>
      </c>
      <c r="I105" s="215">
        <v>0.45013461743001559</v>
      </c>
      <c r="J105" s="215">
        <v>0.43820100103599807</v>
      </c>
      <c r="K105" s="215">
        <v>0.42199064943438086</v>
      </c>
      <c r="L105" s="251">
        <v>0.42199064943438086</v>
      </c>
      <c r="M105" s="154">
        <f t="shared" si="57"/>
        <v>8.4864736456521067E-2</v>
      </c>
      <c r="N105" s="156">
        <f t="shared" si="58"/>
        <v>4.4804092710569184E-2</v>
      </c>
      <c r="O105" s="214">
        <v>0</v>
      </c>
      <c r="P105" s="215">
        <v>0.12599472597616782</v>
      </c>
      <c r="Q105" s="215">
        <v>0.35811029663572452</v>
      </c>
      <c r="R105" s="215">
        <v>0.45128115908732808</v>
      </c>
      <c r="S105" s="215">
        <v>0.47152849103564221</v>
      </c>
      <c r="T105" s="215">
        <v>0.47027112501159629</v>
      </c>
      <c r="U105" s="215">
        <v>0.4517403478734629</v>
      </c>
      <c r="V105" s="215">
        <v>0.43633065195685378</v>
      </c>
      <c r="W105" s="215">
        <v>0.42075383575188829</v>
      </c>
      <c r="X105" s="215">
        <v>0.41473568302110453</v>
      </c>
      <c r="Y105" s="251">
        <v>0.39660023008257383</v>
      </c>
      <c r="Z105" s="154">
        <f t="shared" si="59"/>
        <v>0.1237361299365283</v>
      </c>
      <c r="AA105" s="156">
        <f t="shared" si="60"/>
        <v>6.6693325889837479E-2</v>
      </c>
      <c r="AB105" s="795">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796">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069">
        <f t="shared" si="67"/>
        <v>0</v>
      </c>
      <c r="AE105" s="1073">
        <f t="shared" si="64"/>
        <v>8.4864736456521067E-2</v>
      </c>
      <c r="AF105" s="1074">
        <f t="shared" si="65"/>
        <v>0.1237361299365283</v>
      </c>
      <c r="AG105" s="1074">
        <f t="shared" si="66"/>
        <v>0.20860086639304937</v>
      </c>
      <c r="AH105" s="1015">
        <f t="shared" si="62"/>
        <v>0.40682830289217237</v>
      </c>
      <c r="AI105" s="1075">
        <f t="shared" si="63"/>
        <v>0.59317169710782758</v>
      </c>
      <c r="AJ105" s="99"/>
      <c r="AK105" s="387"/>
      <c r="AL105" s="387"/>
      <c r="AM105" s="387"/>
    </row>
    <row r="106" spans="1:39" x14ac:dyDescent="0.2">
      <c r="A106" s="202">
        <v>2037</v>
      </c>
      <c r="B106" s="216">
        <v>0</v>
      </c>
      <c r="C106" s="217">
        <v>0.14742560087853518</v>
      </c>
      <c r="D106" s="217">
        <v>0.37077243135170129</v>
      </c>
      <c r="E106" s="217">
        <v>0.4518394471480891</v>
      </c>
      <c r="F106" s="217">
        <v>0.473273351150647</v>
      </c>
      <c r="G106" s="217">
        <v>0.47637996327275517</v>
      </c>
      <c r="H106" s="217">
        <v>0.45252882853875587</v>
      </c>
      <c r="I106" s="217">
        <v>0.44338151056070763</v>
      </c>
      <c r="J106" s="217">
        <v>0.42822231805853056</v>
      </c>
      <c r="K106" s="217">
        <v>0.40954211572351079</v>
      </c>
      <c r="L106" s="252">
        <v>0.40954211572351079</v>
      </c>
      <c r="M106" s="168">
        <f t="shared" si="57"/>
        <v>9.4089586827243235E-2</v>
      </c>
      <c r="N106" s="170">
        <f t="shared" si="58"/>
        <v>5.2343647165713048E-2</v>
      </c>
      <c r="O106" s="216">
        <v>0</v>
      </c>
      <c r="P106" s="217">
        <v>0.17187860122167264</v>
      </c>
      <c r="Q106" s="217">
        <v>0.39399964526175185</v>
      </c>
      <c r="R106" s="217">
        <v>0.46099522028078616</v>
      </c>
      <c r="S106" s="217">
        <v>0.47515673683741882</v>
      </c>
      <c r="T106" s="217">
        <v>0.4670682947513628</v>
      </c>
      <c r="U106" s="217">
        <v>0.44294135925717687</v>
      </c>
      <c r="V106" s="217">
        <v>0.42478920925671626</v>
      </c>
      <c r="W106" s="217">
        <v>0.40979598434700187</v>
      </c>
      <c r="X106" s="217">
        <v>0.40347614780155938</v>
      </c>
      <c r="Y106" s="252">
        <v>0.38727188445446814</v>
      </c>
      <c r="Z106" s="168">
        <f t="shared" si="59"/>
        <v>0.13926893243379787</v>
      </c>
      <c r="AA106" s="170">
        <f t="shared" si="60"/>
        <v>8.0259272399053075E-2</v>
      </c>
      <c r="AB106" s="795">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796">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069">
        <f t="shared" si="67"/>
        <v>0</v>
      </c>
      <c r="AE106" s="1073">
        <f t="shared" si="64"/>
        <v>9.4089586827243235E-2</v>
      </c>
      <c r="AF106" s="1074">
        <f t="shared" si="65"/>
        <v>0.13926893243379787</v>
      </c>
      <c r="AG106" s="1074">
        <f t="shared" si="66"/>
        <v>0.23335851926104112</v>
      </c>
      <c r="AH106" s="1015">
        <f t="shared" si="62"/>
        <v>0.40319756538218382</v>
      </c>
      <c r="AI106" s="1075">
        <f t="shared" si="63"/>
        <v>0.59680243461781612</v>
      </c>
      <c r="AJ106" s="99"/>
      <c r="AK106" s="387"/>
      <c r="AL106" s="387"/>
      <c r="AM106" s="387"/>
    </row>
    <row r="107" spans="1:39" x14ac:dyDescent="0.2">
      <c r="A107" s="202">
        <v>2038</v>
      </c>
      <c r="B107" s="216">
        <v>0</v>
      </c>
      <c r="C107" s="217">
        <v>0.21082643589966626</v>
      </c>
      <c r="D107" s="217">
        <v>0.40508276031366819</v>
      </c>
      <c r="E107" s="217">
        <v>0.46888572018165381</v>
      </c>
      <c r="F107" s="217">
        <v>0.47616556361715501</v>
      </c>
      <c r="G107" s="217">
        <v>0.47191848333772696</v>
      </c>
      <c r="H107" s="217">
        <v>0.43987733803581813</v>
      </c>
      <c r="I107" s="217">
        <v>0.42770424361324688</v>
      </c>
      <c r="J107" s="217">
        <v>0.40990615630513777</v>
      </c>
      <c r="K107" s="217">
        <v>0.3945366266054699</v>
      </c>
      <c r="L107" s="252">
        <v>0.3945366266054699</v>
      </c>
      <c r="M107" s="168">
        <f t="shared" si="57"/>
        <v>0.10727625216559868</v>
      </c>
      <c r="N107" s="170">
        <f t="shared" si="58"/>
        <v>6.3330555852817216E-2</v>
      </c>
      <c r="O107" s="216">
        <v>0</v>
      </c>
      <c r="P107" s="217">
        <v>0.22351536849496148</v>
      </c>
      <c r="Q107" s="217">
        <v>0.41894366234936509</v>
      </c>
      <c r="R107" s="217">
        <v>0.473768565246383</v>
      </c>
      <c r="S107" s="217">
        <v>0.47361996506430371</v>
      </c>
      <c r="T107" s="217">
        <v>0.45745673377177082</v>
      </c>
      <c r="U107" s="217">
        <v>0.43261528903889307</v>
      </c>
      <c r="V107" s="217">
        <v>0.41252535299456206</v>
      </c>
      <c r="W107" s="217">
        <v>0.39457165119939147</v>
      </c>
      <c r="X107" s="217">
        <v>0.39025869433730054</v>
      </c>
      <c r="Y107" s="252">
        <v>0.37440799887717474</v>
      </c>
      <c r="Z107" s="168">
        <f t="shared" si="59"/>
        <v>0.15540637339736901</v>
      </c>
      <c r="AA107" s="170">
        <f t="shared" si="60"/>
        <v>9.4803796726872183E-2</v>
      </c>
      <c r="AB107" s="795">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796">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069">
        <f t="shared" si="67"/>
        <v>0</v>
      </c>
      <c r="AE107" s="1073">
        <f t="shared" si="64"/>
        <v>0.10727625216559868</v>
      </c>
      <c r="AF107" s="1074">
        <f t="shared" si="65"/>
        <v>0.15540637339736901</v>
      </c>
      <c r="AG107" s="1074">
        <f t="shared" si="66"/>
        <v>0.26268262556296768</v>
      </c>
      <c r="AH107" s="1015">
        <f t="shared" si="62"/>
        <v>0.40838731505629589</v>
      </c>
      <c r="AI107" s="1075">
        <f t="shared" si="63"/>
        <v>0.59161268494370423</v>
      </c>
      <c r="AJ107" s="99"/>
      <c r="AK107" s="387"/>
      <c r="AL107" s="387"/>
      <c r="AM107" s="387"/>
    </row>
    <row r="108" spans="1:39" x14ac:dyDescent="0.2">
      <c r="A108" s="202">
        <v>2039</v>
      </c>
      <c r="B108" s="216">
        <v>1.0322865114184652E-3</v>
      </c>
      <c r="C108" s="217">
        <v>0.28134582824498855</v>
      </c>
      <c r="D108" s="217">
        <v>0.43212666386293874</v>
      </c>
      <c r="E108" s="217">
        <v>0.48072032976571361</v>
      </c>
      <c r="F108" s="217">
        <v>0.4769528403652854</v>
      </c>
      <c r="G108" s="217">
        <v>0.46162164673423162</v>
      </c>
      <c r="H108" s="217">
        <v>0.42338470575486059</v>
      </c>
      <c r="I108" s="217">
        <v>0.40924883715740396</v>
      </c>
      <c r="J108" s="217">
        <v>0.39280475152186922</v>
      </c>
      <c r="K108" s="217">
        <v>0.37513513138484522</v>
      </c>
      <c r="L108" s="252">
        <v>0.37513513138484522</v>
      </c>
      <c r="M108" s="168">
        <f t="shared" si="57"/>
        <v>0.12060768033541704</v>
      </c>
      <c r="N108" s="170">
        <f t="shared" si="58"/>
        <v>7.5006082524786188E-2</v>
      </c>
      <c r="O108" s="216">
        <v>7.2314004805492662E-4</v>
      </c>
      <c r="P108" s="217">
        <v>0.29430734137993259</v>
      </c>
      <c r="Q108" s="217">
        <v>0.44141212963727888</v>
      </c>
      <c r="R108" s="217">
        <v>0.4765826979265167</v>
      </c>
      <c r="S108" s="217">
        <v>0.46594037094170748</v>
      </c>
      <c r="T108" s="217">
        <v>0.44343037959928144</v>
      </c>
      <c r="U108" s="217">
        <v>0.41421468586698362</v>
      </c>
      <c r="V108" s="217">
        <v>0.39516900288481199</v>
      </c>
      <c r="W108" s="217">
        <v>0.37930904476180322</v>
      </c>
      <c r="X108" s="217">
        <v>0.37303672091962847</v>
      </c>
      <c r="Y108" s="252">
        <v>0.36179130163217882</v>
      </c>
      <c r="Z108" s="168">
        <f t="shared" si="59"/>
        <v>0.175573301096866</v>
      </c>
      <c r="AA108" s="170">
        <f t="shared" si="60"/>
        <v>0.11401262164496888</v>
      </c>
      <c r="AB108" s="795">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796">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069">
        <f t="shared" si="67"/>
        <v>0</v>
      </c>
      <c r="AE108" s="1073">
        <f t="shared" si="64"/>
        <v>0.12060768033541704</v>
      </c>
      <c r="AF108" s="1074">
        <f t="shared" si="65"/>
        <v>0.175573301096866</v>
      </c>
      <c r="AG108" s="1074">
        <f t="shared" si="66"/>
        <v>0.29618098143228305</v>
      </c>
      <c r="AH108" s="1015">
        <f t="shared" si="62"/>
        <v>0.40720940200879174</v>
      </c>
      <c r="AI108" s="1075">
        <f t="shared" si="63"/>
        <v>0.59279059799120815</v>
      </c>
      <c r="AJ108" s="99"/>
      <c r="AK108" s="387"/>
      <c r="AL108" s="387"/>
      <c r="AM108" s="387"/>
    </row>
    <row r="109" spans="1:39" ht="13.5" thickBot="1" x14ac:dyDescent="0.25">
      <c r="A109" s="200">
        <v>2040</v>
      </c>
      <c r="B109" s="218">
        <v>8.4220599620004576E-3</v>
      </c>
      <c r="C109" s="219">
        <v>0.33993816600800703</v>
      </c>
      <c r="D109" s="219">
        <v>0.46090379864389469</v>
      </c>
      <c r="E109" s="219">
        <v>0.48128063822885819</v>
      </c>
      <c r="F109" s="219">
        <v>0.46563056951335041</v>
      </c>
      <c r="G109" s="219">
        <v>0.44310654742256472</v>
      </c>
      <c r="H109" s="219">
        <v>0.39992108382926272</v>
      </c>
      <c r="I109" s="219">
        <v>0.38747467301128496</v>
      </c>
      <c r="J109" s="219">
        <v>0.3731369621109924</v>
      </c>
      <c r="K109" s="219">
        <v>0.36016803367702849</v>
      </c>
      <c r="L109" s="253">
        <v>0.36016803367702849</v>
      </c>
      <c r="M109" s="182">
        <f t="shared" si="57"/>
        <v>0.1319145871349813</v>
      </c>
      <c r="N109" s="184">
        <f t="shared" si="58"/>
        <v>8.5834049736355819E-2</v>
      </c>
      <c r="O109" s="218">
        <v>6.251287733217311E-3</v>
      </c>
      <c r="P109" s="219">
        <v>0.35226772582264004</v>
      </c>
      <c r="Q109" s="219">
        <v>0.46792747076297836</v>
      </c>
      <c r="R109" s="219">
        <v>0.47629328932960857</v>
      </c>
      <c r="S109" s="219">
        <v>0.44904915740715734</v>
      </c>
      <c r="T109" s="219">
        <v>0.422592340411794</v>
      </c>
      <c r="U109" s="219">
        <v>0.39247388921193499</v>
      </c>
      <c r="V109" s="219">
        <v>0.37543670064383788</v>
      </c>
      <c r="W109" s="219">
        <v>0.36216069058700173</v>
      </c>
      <c r="X109" s="219">
        <v>0.35812613658021791</v>
      </c>
      <c r="Y109" s="253">
        <v>0.34750796877603507</v>
      </c>
      <c r="Z109" s="182">
        <f t="shared" si="59"/>
        <v>0.19263573248732682</v>
      </c>
      <c r="AA109" s="184">
        <f t="shared" si="60"/>
        <v>0.13127688601524226</v>
      </c>
      <c r="AB109" s="795">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796">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069">
        <f t="shared" si="67"/>
        <v>0</v>
      </c>
      <c r="AE109" s="1073">
        <f t="shared" si="64"/>
        <v>0.1319145871349813</v>
      </c>
      <c r="AF109" s="1074">
        <f t="shared" si="65"/>
        <v>0.19263573248732682</v>
      </c>
      <c r="AG109" s="1074">
        <f t="shared" si="66"/>
        <v>0.32455031962230813</v>
      </c>
      <c r="AH109" s="1015">
        <f t="shared" si="62"/>
        <v>0.4064534192679134</v>
      </c>
      <c r="AI109" s="1075">
        <f t="shared" si="63"/>
        <v>0.59354658073208666</v>
      </c>
      <c r="AJ109" s="99"/>
      <c r="AK109" s="387"/>
      <c r="AL109" s="387"/>
      <c r="AM109" s="387"/>
    </row>
    <row r="110" spans="1:39" x14ac:dyDescent="0.2">
      <c r="A110" s="201">
        <v>2041</v>
      </c>
      <c r="B110" s="214">
        <v>4.0870783438246731E-2</v>
      </c>
      <c r="C110" s="215">
        <v>0.39509298831660566</v>
      </c>
      <c r="D110" s="215">
        <v>0.47650134636892466</v>
      </c>
      <c r="E110" s="215">
        <v>0.47284082484690898</v>
      </c>
      <c r="F110" s="215">
        <v>0.44063585342056505</v>
      </c>
      <c r="G110" s="215">
        <v>0.41304503068869275</v>
      </c>
      <c r="H110" s="215">
        <v>0.37071371606451675</v>
      </c>
      <c r="I110" s="215">
        <v>0.36092012032892912</v>
      </c>
      <c r="J110" s="215">
        <v>0.35184849390832457</v>
      </c>
      <c r="K110" s="215">
        <v>0.33999852210710546</v>
      </c>
      <c r="L110" s="251">
        <v>0.33999852210710546</v>
      </c>
      <c r="M110" s="154">
        <f t="shared" si="57"/>
        <v>0.14258977904359729</v>
      </c>
      <c r="N110" s="156">
        <f t="shared" si="58"/>
        <v>9.9369332633042581E-2</v>
      </c>
      <c r="O110" s="214">
        <v>3.2241255908931836E-2</v>
      </c>
      <c r="P110" s="215">
        <v>0.40595196532018829</v>
      </c>
      <c r="Q110" s="215">
        <v>0.48112537588032966</v>
      </c>
      <c r="R110" s="215">
        <v>0.45648318642812336</v>
      </c>
      <c r="S110" s="215">
        <v>0.42335768917910538</v>
      </c>
      <c r="T110" s="215">
        <v>0.3916346684976264</v>
      </c>
      <c r="U110" s="215">
        <v>0.36819266551581892</v>
      </c>
      <c r="V110" s="215">
        <v>0.3540123570428293</v>
      </c>
      <c r="W110" s="215">
        <v>0.34177059387714276</v>
      </c>
      <c r="X110" s="215">
        <v>0.33822435298872761</v>
      </c>
      <c r="Y110" s="251">
        <v>0.33205968381245937</v>
      </c>
      <c r="Z110" s="154">
        <f t="shared" si="59"/>
        <v>0.20826217451823945</v>
      </c>
      <c r="AA110" s="156">
        <f t="shared" si="60"/>
        <v>0.15188201637254414</v>
      </c>
      <c r="AB110" s="795">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796">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069">
        <f t="shared" si="67"/>
        <v>0</v>
      </c>
      <c r="AE110" s="1073">
        <f t="shared" si="64"/>
        <v>0.14258977904359729</v>
      </c>
      <c r="AF110" s="1074">
        <f t="shared" si="65"/>
        <v>0.20826217451823945</v>
      </c>
      <c r="AG110" s="1074">
        <f t="shared" si="66"/>
        <v>0.35085195356183674</v>
      </c>
      <c r="AH110" s="1015">
        <f t="shared" si="62"/>
        <v>0.40641010430761709</v>
      </c>
      <c r="AI110" s="1075">
        <f t="shared" si="63"/>
        <v>0.59358989569238296</v>
      </c>
      <c r="AJ110" s="99"/>
      <c r="AK110" s="387"/>
      <c r="AL110" s="387"/>
      <c r="AM110" s="387"/>
    </row>
    <row r="111" spans="1:39" x14ac:dyDescent="0.2">
      <c r="A111" s="202">
        <v>2042</v>
      </c>
      <c r="B111" s="216">
        <v>0.10501383290606676</v>
      </c>
      <c r="C111" s="217">
        <v>0.43310574546222191</v>
      </c>
      <c r="D111" s="217">
        <v>0.48352630624094972</v>
      </c>
      <c r="E111" s="217">
        <v>0.44029201547113467</v>
      </c>
      <c r="F111" s="217">
        <v>0.40247906251325466</v>
      </c>
      <c r="G111" s="217">
        <v>0.37411360383579439</v>
      </c>
      <c r="H111" s="217">
        <v>0.34304787256187885</v>
      </c>
      <c r="I111" s="217">
        <v>0.33430269885690633</v>
      </c>
      <c r="J111" s="217">
        <v>0.32666402083876456</v>
      </c>
      <c r="K111" s="217">
        <v>0.32029609869274905</v>
      </c>
      <c r="L111" s="252">
        <v>0.32029609869274905</v>
      </c>
      <c r="M111" s="168">
        <f t="shared" si="57"/>
        <v>0.15092989109025834</v>
      </c>
      <c r="N111" s="170">
        <f t="shared" si="58"/>
        <v>0.11476517833733087</v>
      </c>
      <c r="O111" s="216">
        <v>9.5339474257279858E-2</v>
      </c>
      <c r="P111" s="217">
        <v>0.44242825591362128</v>
      </c>
      <c r="Q111" s="217">
        <v>0.47834562705955841</v>
      </c>
      <c r="R111" s="217">
        <v>0.42288756694578777</v>
      </c>
      <c r="S111" s="217">
        <v>0.38820802220826967</v>
      </c>
      <c r="T111" s="217">
        <v>0.36045711067120223</v>
      </c>
      <c r="U111" s="217">
        <v>0.34076078927180453</v>
      </c>
      <c r="V111" s="217">
        <v>0.3303346468466774</v>
      </c>
      <c r="W111" s="217">
        <v>0.32331108487708515</v>
      </c>
      <c r="X111" s="217">
        <v>0.32029609869274905</v>
      </c>
      <c r="Y111" s="252">
        <v>0.31536459526713029</v>
      </c>
      <c r="Z111" s="168">
        <f t="shared" si="59"/>
        <v>0.22107586366989007</v>
      </c>
      <c r="AA111" s="170">
        <f t="shared" si="60"/>
        <v>0.17709146025606393</v>
      </c>
      <c r="AB111" s="795">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796">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069">
        <f t="shared" si="67"/>
        <v>0</v>
      </c>
      <c r="AE111" s="1073">
        <f t="shared" si="64"/>
        <v>0.15092989109025834</v>
      </c>
      <c r="AF111" s="1074">
        <f t="shared" si="65"/>
        <v>0.22107586366989007</v>
      </c>
      <c r="AG111" s="1074">
        <f t="shared" si="66"/>
        <v>0.37200575476014841</v>
      </c>
      <c r="AH111" s="1015">
        <f t="shared" si="62"/>
        <v>0.4057192372939788</v>
      </c>
      <c r="AI111" s="1075">
        <f t="shared" si="63"/>
        <v>0.59428076270602115</v>
      </c>
      <c r="AJ111" s="99"/>
      <c r="AK111" s="387"/>
      <c r="AL111" s="387"/>
      <c r="AM111" s="387"/>
    </row>
    <row r="112" spans="1:39" x14ac:dyDescent="0.2">
      <c r="A112" s="202">
        <v>2043</v>
      </c>
      <c r="B112" s="216">
        <v>0.18795824797199659</v>
      </c>
      <c r="C112" s="217">
        <v>0.46363348993683545</v>
      </c>
      <c r="D112" s="217">
        <v>0.46726793132694089</v>
      </c>
      <c r="E112" s="217">
        <v>0.40054245676303973</v>
      </c>
      <c r="F112" s="217">
        <v>0.36471072229169138</v>
      </c>
      <c r="G112" s="217">
        <v>0.34240632927941184</v>
      </c>
      <c r="H112" s="217">
        <v>0.31925685509422463</v>
      </c>
      <c r="I112" s="217">
        <v>0.31548136837183421</v>
      </c>
      <c r="J112" s="217">
        <v>0.30894444797398746</v>
      </c>
      <c r="K112" s="217">
        <v>0.30389329454723674</v>
      </c>
      <c r="L112" s="252">
        <v>0.30389329454723674</v>
      </c>
      <c r="M112" s="168">
        <f t="shared" si="57"/>
        <v>0.15722412223939983</v>
      </c>
      <c r="N112" s="170">
        <f t="shared" si="58"/>
        <v>0.13090927676795039</v>
      </c>
      <c r="O112" s="216">
        <v>0.17400215156031215</v>
      </c>
      <c r="P112" s="217">
        <v>0.46330106901535312</v>
      </c>
      <c r="Q112" s="217">
        <v>0.45144808258862568</v>
      </c>
      <c r="R112" s="217">
        <v>0.37950335928388285</v>
      </c>
      <c r="S112" s="217">
        <v>0.35043832239608336</v>
      </c>
      <c r="T112" s="217">
        <v>0.33000319479270768</v>
      </c>
      <c r="U112" s="217">
        <v>0.31733331375499946</v>
      </c>
      <c r="V112" s="217">
        <v>0.31046309746206052</v>
      </c>
      <c r="W112" s="217">
        <v>0.30622255520632197</v>
      </c>
      <c r="X112" s="217">
        <v>0.30389329454723674</v>
      </c>
      <c r="Y112" s="252">
        <v>0.30123769188222776</v>
      </c>
      <c r="Z112" s="168">
        <f t="shared" si="59"/>
        <v>0.22899161394913548</v>
      </c>
      <c r="AA112" s="170">
        <f t="shared" si="60"/>
        <v>0.20123263150712525</v>
      </c>
      <c r="AB112" s="795">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796">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069">
        <f t="shared" si="67"/>
        <v>0</v>
      </c>
      <c r="AE112" s="1073">
        <f t="shared" si="64"/>
        <v>0.15722412223939983</v>
      </c>
      <c r="AF112" s="1074">
        <f t="shared" si="65"/>
        <v>0.22899161394913548</v>
      </c>
      <c r="AG112" s="1074">
        <f t="shared" si="66"/>
        <v>0.38621573618853533</v>
      </c>
      <c r="AH112" s="1015">
        <f t="shared" si="62"/>
        <v>0.40708885606527745</v>
      </c>
      <c r="AI112" s="1075">
        <f t="shared" si="63"/>
        <v>0.59291114393472244</v>
      </c>
      <c r="AJ112" s="99"/>
      <c r="AK112" s="387"/>
      <c r="AL112" s="387"/>
      <c r="AM112" s="387"/>
    </row>
    <row r="113" spans="1:39" x14ac:dyDescent="0.2">
      <c r="A113" s="202">
        <v>2044</v>
      </c>
      <c r="B113" s="216">
        <v>0.2623934633991073</v>
      </c>
      <c r="C113" s="217">
        <v>0.47552073201420592</v>
      </c>
      <c r="D113" s="217">
        <v>0.42727415547702347</v>
      </c>
      <c r="E113" s="217">
        <v>0.35652375073879838</v>
      </c>
      <c r="F113" s="217">
        <v>0.33075250268531248</v>
      </c>
      <c r="G113" s="217">
        <v>0.31836299003861568</v>
      </c>
      <c r="H113" s="217">
        <v>0.30071347196984033</v>
      </c>
      <c r="I113" s="217">
        <v>0.29775588331412073</v>
      </c>
      <c r="J113" s="217">
        <v>0.2940275211684556</v>
      </c>
      <c r="K113" s="217">
        <v>0.29132616383606946</v>
      </c>
      <c r="L113" s="252">
        <v>0.29132616383606946</v>
      </c>
      <c r="M113" s="168">
        <f t="shared" si="57"/>
        <v>0.15794836586979505</v>
      </c>
      <c r="N113" s="170">
        <f t="shared" si="58"/>
        <v>0.14177471082320106</v>
      </c>
      <c r="O113" s="216">
        <v>0.24833243632631524</v>
      </c>
      <c r="P113" s="217">
        <v>0.47200531986628114</v>
      </c>
      <c r="Q113" s="217">
        <v>0.40145263024352784</v>
      </c>
      <c r="R113" s="217">
        <v>0.34465012795848277</v>
      </c>
      <c r="S113" s="217">
        <v>0.32313577280944467</v>
      </c>
      <c r="T113" s="217">
        <v>0.30772384518273399</v>
      </c>
      <c r="U113" s="217">
        <v>0.30071347196984033</v>
      </c>
      <c r="V113" s="217">
        <v>0.29518974204717213</v>
      </c>
      <c r="W113" s="217">
        <v>0.29303748171072275</v>
      </c>
      <c r="X113" s="217">
        <v>0.29132616383606946</v>
      </c>
      <c r="Y113" s="252">
        <v>0.29009262737366459</v>
      </c>
      <c r="Z113" s="168">
        <f t="shared" si="59"/>
        <v>0.23220728983328559</v>
      </c>
      <c r="AA113" s="170">
        <f t="shared" si="60"/>
        <v>0.2203156963896753</v>
      </c>
      <c r="AB113" s="795">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796">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069">
        <f t="shared" si="67"/>
        <v>0</v>
      </c>
      <c r="AE113" s="1073">
        <f t="shared" si="64"/>
        <v>0.15794836586979505</v>
      </c>
      <c r="AF113" s="1074">
        <f t="shared" si="65"/>
        <v>0.23220728983328559</v>
      </c>
      <c r="AG113" s="1074">
        <f t="shared" si="66"/>
        <v>0.39015565570308064</v>
      </c>
      <c r="AH113" s="1015">
        <f t="shared" si="62"/>
        <v>0.4048342336218706</v>
      </c>
      <c r="AI113" s="1075">
        <f t="shared" si="63"/>
        <v>0.59516576637812946</v>
      </c>
      <c r="AJ113" s="99"/>
      <c r="AK113" s="387"/>
      <c r="AL113" s="387"/>
      <c r="AM113" s="387"/>
    </row>
    <row r="114" spans="1:39" ht="13.5" thickBot="1" x14ac:dyDescent="0.25">
      <c r="A114" s="200">
        <v>2045</v>
      </c>
      <c r="B114" s="218">
        <v>0.32564217700933817</v>
      </c>
      <c r="C114" s="219">
        <v>0.46347721656670138</v>
      </c>
      <c r="D114" s="219">
        <v>0.36990241467577378</v>
      </c>
      <c r="E114" s="219">
        <v>0.32618567176343372</v>
      </c>
      <c r="F114" s="219">
        <v>0.30623177901735077</v>
      </c>
      <c r="G114" s="219">
        <v>0.29806839141007496</v>
      </c>
      <c r="H114" s="219">
        <v>0.2872827398006611</v>
      </c>
      <c r="I114" s="219">
        <v>0.28510666542592938</v>
      </c>
      <c r="J114" s="219">
        <v>0.2833773728153367</v>
      </c>
      <c r="K114" s="219">
        <v>0.28213147135870803</v>
      </c>
      <c r="L114" s="253">
        <v>0.28213147135870803</v>
      </c>
      <c r="M114" s="182">
        <f t="shared" si="57"/>
        <v>0.15359986910094667</v>
      </c>
      <c r="N114" s="184">
        <f t="shared" si="58"/>
        <v>0.14684443253201815</v>
      </c>
      <c r="O114" s="218">
        <v>0.3101686011613195</v>
      </c>
      <c r="P114" s="219">
        <v>0.45171063250809967</v>
      </c>
      <c r="Q114" s="219">
        <v>0.34407208882788959</v>
      </c>
      <c r="R114" s="219">
        <v>0.31565644492634493</v>
      </c>
      <c r="S114" s="219">
        <v>0.29998095236236222</v>
      </c>
      <c r="T114" s="219">
        <v>0.29287348762470916</v>
      </c>
      <c r="U114" s="219">
        <v>0.2872827398006611</v>
      </c>
      <c r="V114" s="219">
        <v>0.2833773728153367</v>
      </c>
      <c r="W114" s="219">
        <v>0.28213147135870803</v>
      </c>
      <c r="X114" s="219">
        <v>0.28213147135870803</v>
      </c>
      <c r="Y114" s="253">
        <v>0.28143645984852167</v>
      </c>
      <c r="Z114" s="182">
        <f t="shared" si="59"/>
        <v>0.22618556216199215</v>
      </c>
      <c r="AA114" s="184">
        <f t="shared" si="60"/>
        <v>0.22841624882367653</v>
      </c>
      <c r="AB114" s="795">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796">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069">
        <f t="shared" si="67"/>
        <v>0</v>
      </c>
      <c r="AE114" s="1073">
        <f t="shared" si="64"/>
        <v>0.15359986910094667</v>
      </c>
      <c r="AF114" s="1074">
        <f t="shared" si="65"/>
        <v>0.22618556216199215</v>
      </c>
      <c r="AG114" s="1074">
        <f t="shared" si="66"/>
        <v>0.37978543126293884</v>
      </c>
      <c r="AH114" s="1015">
        <f t="shared" si="62"/>
        <v>0.40443854992058414</v>
      </c>
      <c r="AI114" s="1075">
        <f t="shared" si="63"/>
        <v>0.59556145007941574</v>
      </c>
      <c r="AJ114" s="99"/>
      <c r="AK114" s="387"/>
      <c r="AL114" s="387"/>
      <c r="AM114" s="387"/>
    </row>
    <row r="115" spans="1:39" x14ac:dyDescent="0.2">
      <c r="A115" s="201">
        <v>2046</v>
      </c>
      <c r="B115" s="214">
        <v>0.35487163011006501</v>
      </c>
      <c r="C115" s="215">
        <v>0.43458038981779856</v>
      </c>
      <c r="D115" s="215">
        <v>0.31911327877444873</v>
      </c>
      <c r="E115" s="215">
        <v>0.30505929374672963</v>
      </c>
      <c r="F115" s="215">
        <v>0.2921978813613576</v>
      </c>
      <c r="G115" s="215">
        <v>0.28538307512000916</v>
      </c>
      <c r="H115" s="215">
        <v>0.27913259287699094</v>
      </c>
      <c r="I115" s="215">
        <v>0.27739218184131476</v>
      </c>
      <c r="J115" s="215">
        <v>0.27613867822173943</v>
      </c>
      <c r="K115" s="215">
        <v>0.27543963191101078</v>
      </c>
      <c r="L115" s="251">
        <v>0.27543963191101078</v>
      </c>
      <c r="M115" s="154">
        <f t="shared" si="57"/>
        <v>0.14549868821036463</v>
      </c>
      <c r="N115" s="156">
        <f t="shared" si="58"/>
        <v>0.14450221005873937</v>
      </c>
      <c r="O115" s="214">
        <v>0.34105815402593526</v>
      </c>
      <c r="P115" s="215">
        <v>0.41491137294728164</v>
      </c>
      <c r="Q115" s="215">
        <v>0.30273354559454846</v>
      </c>
      <c r="R115" s="215">
        <v>0.29824534683527698</v>
      </c>
      <c r="S115" s="215">
        <v>0.2869568936870534</v>
      </c>
      <c r="T115" s="215">
        <v>0.28132353859757753</v>
      </c>
      <c r="U115" s="215">
        <v>0.27739218184131476</v>
      </c>
      <c r="V115" s="215">
        <v>0.27613867822173943</v>
      </c>
      <c r="W115" s="215">
        <v>0.27543963191101078</v>
      </c>
      <c r="X115" s="215">
        <v>0.27543963191101078</v>
      </c>
      <c r="Y115" s="251">
        <v>0.27524068705064753</v>
      </c>
      <c r="Z115" s="154">
        <f t="shared" si="59"/>
        <v>0.21457909459184901</v>
      </c>
      <c r="AA115" s="156">
        <f t="shared" si="60"/>
        <v>0.22493994375218021</v>
      </c>
      <c r="AB115" s="795">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796">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069">
        <f t="shared" si="67"/>
        <v>0</v>
      </c>
      <c r="AE115" s="1073">
        <f t="shared" si="64"/>
        <v>0.14549868821036463</v>
      </c>
      <c r="AF115" s="1074">
        <f t="shared" si="65"/>
        <v>0.21457909459184901</v>
      </c>
      <c r="AG115" s="1074">
        <f t="shared" si="66"/>
        <v>0.36007778280221364</v>
      </c>
      <c r="AH115" s="1015">
        <f t="shared" si="62"/>
        <v>0.40407571685778038</v>
      </c>
      <c r="AI115" s="1075">
        <f t="shared" si="63"/>
        <v>0.59592428314221957</v>
      </c>
      <c r="AJ115" s="99"/>
      <c r="AK115" s="387"/>
      <c r="AL115" s="387"/>
      <c r="AM115" s="387"/>
    </row>
    <row r="116" spans="1:39" x14ac:dyDescent="0.2">
      <c r="A116" s="202">
        <v>2047</v>
      </c>
      <c r="B116" s="216">
        <v>0.38138568353737906</v>
      </c>
      <c r="C116" s="217">
        <v>0.3881686124916483</v>
      </c>
      <c r="D116" s="217">
        <v>0.28329990991922693</v>
      </c>
      <c r="E116" s="217">
        <v>0.28991254456254056</v>
      </c>
      <c r="F116" s="217">
        <v>0.28270169625842206</v>
      </c>
      <c r="G116" s="217">
        <v>0.27704191534996259</v>
      </c>
      <c r="H116" s="217">
        <v>0.27309477753078804</v>
      </c>
      <c r="I116" s="217">
        <v>0.27183670204411992</v>
      </c>
      <c r="J116" s="217">
        <v>0.27113520324063939</v>
      </c>
      <c r="K116" s="217">
        <v>0.27093557353587855</v>
      </c>
      <c r="L116" s="252">
        <v>0.27093557353587855</v>
      </c>
      <c r="M116" s="168">
        <f t="shared" si="57"/>
        <v>0.13630042533078807</v>
      </c>
      <c r="N116" s="170">
        <f t="shared" si="58"/>
        <v>0.14013761798458776</v>
      </c>
      <c r="O116" s="216">
        <v>0.36836453260811236</v>
      </c>
      <c r="P116" s="217">
        <v>0.36836125026914102</v>
      </c>
      <c r="Q116" s="217">
        <v>0.26856189734221458</v>
      </c>
      <c r="R116" s="217">
        <v>0.28612198508521969</v>
      </c>
      <c r="S116" s="217">
        <v>0.27966885568523403</v>
      </c>
      <c r="T116" s="217">
        <v>0.27484190510076478</v>
      </c>
      <c r="U116" s="217">
        <v>0.27183670204411992</v>
      </c>
      <c r="V116" s="217">
        <v>0.27113520324063939</v>
      </c>
      <c r="W116" s="217">
        <v>0.27113520324063939</v>
      </c>
      <c r="X116" s="217">
        <v>0.27093557353587855</v>
      </c>
      <c r="Y116" s="252">
        <v>0.27093557353587855</v>
      </c>
      <c r="Z116" s="168">
        <f t="shared" si="59"/>
        <v>0.20113852639179081</v>
      </c>
      <c r="AA116" s="170">
        <f t="shared" si="60"/>
        <v>0.21851246784059</v>
      </c>
      <c r="AB116" s="795">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796">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069">
        <f t="shared" si="67"/>
        <v>0</v>
      </c>
      <c r="AE116" s="1073">
        <f t="shared" si="64"/>
        <v>0.13630042533078807</v>
      </c>
      <c r="AF116" s="1074">
        <f t="shared" si="65"/>
        <v>0.20113852639179081</v>
      </c>
      <c r="AG116" s="1074">
        <f t="shared" si="66"/>
        <v>0.33743895172257887</v>
      </c>
      <c r="AH116" s="1015">
        <f t="shared" si="62"/>
        <v>0.40392617578674117</v>
      </c>
      <c r="AI116" s="1075">
        <f t="shared" si="63"/>
        <v>0.59607382421325883</v>
      </c>
      <c r="AJ116" s="99"/>
      <c r="AK116" s="387"/>
      <c r="AL116" s="387"/>
      <c r="AM116" s="387"/>
    </row>
    <row r="117" spans="1:39" x14ac:dyDescent="0.2">
      <c r="A117" s="202">
        <v>2048</v>
      </c>
      <c r="B117" s="216">
        <v>0.39389325193419739</v>
      </c>
      <c r="C117" s="217">
        <v>0.34741490225779276</v>
      </c>
      <c r="D117" s="217">
        <v>0.26019768683639483</v>
      </c>
      <c r="E117" s="217">
        <v>0.2831772636050045</v>
      </c>
      <c r="F117" s="217">
        <v>0.27545007422527279</v>
      </c>
      <c r="G117" s="217">
        <v>0.27186405636137878</v>
      </c>
      <c r="H117" s="217">
        <v>0.26885206513248133</v>
      </c>
      <c r="I117" s="217">
        <v>0.26814907123851439</v>
      </c>
      <c r="J117" s="217">
        <v>0.26794900145041006</v>
      </c>
      <c r="K117" s="217">
        <v>0.26794900145041006</v>
      </c>
      <c r="L117" s="252">
        <v>0.26794900145041006</v>
      </c>
      <c r="M117" s="168">
        <f t="shared" si="57"/>
        <v>0.12850571660694013</v>
      </c>
      <c r="N117" s="170">
        <f t="shared" si="58"/>
        <v>0.13507862130300335</v>
      </c>
      <c r="O117" s="216">
        <v>0.39389325193419739</v>
      </c>
      <c r="P117" s="217">
        <v>0.33122766572017015</v>
      </c>
      <c r="Q117" s="217">
        <v>0.24944512003847102</v>
      </c>
      <c r="R117" s="217">
        <v>0.27974563113556283</v>
      </c>
      <c r="S117" s="217">
        <v>0.27304499582659231</v>
      </c>
      <c r="T117" s="217">
        <v>0.27011288539651379</v>
      </c>
      <c r="U117" s="217">
        <v>0.26885206513248133</v>
      </c>
      <c r="V117" s="217">
        <v>0.26814907123851439</v>
      </c>
      <c r="W117" s="217">
        <v>0.26794900145041006</v>
      </c>
      <c r="X117" s="217">
        <v>0.26794900145041006</v>
      </c>
      <c r="Y117" s="252">
        <v>0.26794900145041006</v>
      </c>
      <c r="Z117" s="168">
        <f t="shared" si="59"/>
        <v>0.1917701183390895</v>
      </c>
      <c r="AA117" s="170">
        <f t="shared" si="60"/>
        <v>0.21487029542990246</v>
      </c>
      <c r="AB117" s="795">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796">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069">
        <f t="shared" si="67"/>
        <v>0</v>
      </c>
      <c r="AE117" s="1073">
        <f t="shared" si="64"/>
        <v>0.12850571660694013</v>
      </c>
      <c r="AF117" s="1074">
        <f t="shared" si="65"/>
        <v>0.1917701183390895</v>
      </c>
      <c r="AG117" s="1074">
        <f t="shared" si="66"/>
        <v>0.32027583494602962</v>
      </c>
      <c r="AH117" s="1015">
        <f t="shared" si="62"/>
        <v>0.40123450658896853</v>
      </c>
      <c r="AI117" s="1075">
        <f t="shared" si="63"/>
        <v>0.59876549341103147</v>
      </c>
      <c r="AJ117" s="99"/>
      <c r="AK117" s="387"/>
      <c r="AL117" s="387"/>
      <c r="AM117" s="387"/>
    </row>
    <row r="118" spans="1:39" x14ac:dyDescent="0.2">
      <c r="A118" s="202">
        <v>2049</v>
      </c>
      <c r="B118" s="216">
        <v>0.4052855862722673</v>
      </c>
      <c r="C118" s="217">
        <v>0.32073283945654918</v>
      </c>
      <c r="D118" s="217">
        <v>0.24805860967424292</v>
      </c>
      <c r="E118" s="217">
        <v>0.27772357053330782</v>
      </c>
      <c r="F118" s="217">
        <v>0.27101144220107115</v>
      </c>
      <c r="G118" s="217">
        <v>0.26807479382531429</v>
      </c>
      <c r="H118" s="217">
        <v>0.26610836655815517</v>
      </c>
      <c r="I118" s="217">
        <v>0.26610836655815517</v>
      </c>
      <c r="J118" s="217">
        <v>0.26590800663417075</v>
      </c>
      <c r="K118" s="217">
        <v>0.26590800663417075</v>
      </c>
      <c r="L118" s="252">
        <v>0.26590800663417075</v>
      </c>
      <c r="M118" s="168">
        <f t="shared" si="57"/>
        <v>0.1238657636450512</v>
      </c>
      <c r="N118" s="170">
        <f t="shared" si="58"/>
        <v>0.13243028224274214</v>
      </c>
      <c r="O118" s="216">
        <v>0.39328417726357334</v>
      </c>
      <c r="P118" s="217">
        <v>0.30493426551463404</v>
      </c>
      <c r="Q118" s="217">
        <v>0.23853191658002873</v>
      </c>
      <c r="R118" s="217">
        <v>0.27467591167303834</v>
      </c>
      <c r="S118" s="217">
        <v>0.26982844200149542</v>
      </c>
      <c r="T118" s="217">
        <v>0.26755684378994904</v>
      </c>
      <c r="U118" s="217">
        <v>0.26610836655815517</v>
      </c>
      <c r="V118" s="217">
        <v>0.26590800663417075</v>
      </c>
      <c r="W118" s="217">
        <v>0.26590800663417075</v>
      </c>
      <c r="X118" s="217">
        <v>0.26590800663417075</v>
      </c>
      <c r="Y118" s="252">
        <v>0.26590800663417075</v>
      </c>
      <c r="Z118" s="168">
        <f t="shared" si="59"/>
        <v>0.18319518138832006</v>
      </c>
      <c r="AA118" s="170">
        <f t="shared" si="60"/>
        <v>0.2073017375716463</v>
      </c>
      <c r="AB118" s="795">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796">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069">
        <f t="shared" si="67"/>
        <v>0</v>
      </c>
      <c r="AE118" s="1073">
        <f t="shared" si="64"/>
        <v>0.1238657636450512</v>
      </c>
      <c r="AF118" s="1074">
        <f t="shared" si="65"/>
        <v>0.18319518138832006</v>
      </c>
      <c r="AG118" s="1074">
        <f t="shared" si="66"/>
        <v>0.30706094503337122</v>
      </c>
      <c r="AH118" s="1015">
        <f t="shared" si="62"/>
        <v>0.40339146234174955</v>
      </c>
      <c r="AI118" s="1075">
        <f t="shared" si="63"/>
        <v>0.5966085376582505</v>
      </c>
      <c r="AJ118" s="99"/>
      <c r="AK118" s="387"/>
      <c r="AL118" s="387"/>
      <c r="AM118" s="387"/>
    </row>
    <row r="119" spans="1:39" ht="13.5" thickBot="1" x14ac:dyDescent="0.25">
      <c r="A119" s="200">
        <v>2050</v>
      </c>
      <c r="B119" s="218">
        <v>0.40751468776500432</v>
      </c>
      <c r="C119" s="219">
        <v>0.26532346107224875</v>
      </c>
      <c r="D119" s="219">
        <v>0.22506305109578439</v>
      </c>
      <c r="E119" s="219">
        <v>0.26688273057200051</v>
      </c>
      <c r="F119" s="219">
        <v>0.26393769600655675</v>
      </c>
      <c r="G119" s="219">
        <v>0.26267227149677858</v>
      </c>
      <c r="H119" s="219">
        <v>0.26176573680869863</v>
      </c>
      <c r="I119" s="219">
        <v>0.26176573680869863</v>
      </c>
      <c r="J119" s="219">
        <v>0.26176573680869863</v>
      </c>
      <c r="K119" s="219">
        <v>0.26176573680869863</v>
      </c>
      <c r="L119" s="253">
        <v>0.26176573680869863</v>
      </c>
      <c r="M119" s="182">
        <f t="shared" si="57"/>
        <v>0.11292140544541414</v>
      </c>
      <c r="N119" s="184">
        <f t="shared" si="58"/>
        <v>0.12353640844592555</v>
      </c>
      <c r="O119" s="218">
        <v>0.39708948864834615</v>
      </c>
      <c r="P119" s="219">
        <v>0.25703128568457784</v>
      </c>
      <c r="Q119" s="219">
        <v>0.22173292026795102</v>
      </c>
      <c r="R119" s="219">
        <v>0.26569565283075641</v>
      </c>
      <c r="S119" s="219">
        <v>0.2634190616341589</v>
      </c>
      <c r="T119" s="219">
        <v>0.26196666668851271</v>
      </c>
      <c r="U119" s="219">
        <v>0.26176573680869863</v>
      </c>
      <c r="V119" s="219">
        <v>0.26176573680869863</v>
      </c>
      <c r="W119" s="219">
        <v>0.26176573680869863</v>
      </c>
      <c r="X119" s="219">
        <v>0.26176573680869863</v>
      </c>
      <c r="Y119" s="253">
        <v>0.26176573680869863</v>
      </c>
      <c r="Z119" s="182">
        <f t="shared" si="59"/>
        <v>0.16840306387010687</v>
      </c>
      <c r="AA119" s="184">
        <f t="shared" si="60"/>
        <v>0.19500241566520768</v>
      </c>
      <c r="AB119" s="797">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798">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070">
        <f t="shared" si="67"/>
        <v>0</v>
      </c>
      <c r="AE119" s="1076">
        <f t="shared" si="64"/>
        <v>0.11292140544541414</v>
      </c>
      <c r="AF119" s="1077">
        <f t="shared" si="65"/>
        <v>0.16840306387010687</v>
      </c>
      <c r="AG119" s="1077">
        <f t="shared" si="66"/>
        <v>0.28132446931552102</v>
      </c>
      <c r="AH119" s="1078">
        <f t="shared" si="62"/>
        <v>0.40139204997047911</v>
      </c>
      <c r="AI119" s="1079">
        <f t="shared" si="63"/>
        <v>0.59860795002952083</v>
      </c>
      <c r="AJ119" s="99"/>
      <c r="AK119" s="387"/>
      <c r="AL119" s="387"/>
      <c r="AM119" s="387"/>
    </row>
    <row r="120" spans="1:39" x14ac:dyDescent="0.2">
      <c r="B120" s="99" t="s">
        <v>240</v>
      </c>
      <c r="U120" s="99" t="s">
        <v>240</v>
      </c>
      <c r="AB120"/>
      <c r="AC120"/>
      <c r="AD120"/>
    </row>
    <row r="121" spans="1:39" ht="13.5" thickBot="1" x14ac:dyDescent="0.25"/>
    <row r="122" spans="1:39" ht="15" x14ac:dyDescent="0.25">
      <c r="A122" s="205"/>
      <c r="B122" s="1539" t="s">
        <v>195</v>
      </c>
      <c r="C122" s="1540"/>
      <c r="D122" s="1540"/>
      <c r="E122" s="1540"/>
      <c r="F122" s="1540"/>
      <c r="G122" s="1540"/>
      <c r="H122" s="1540"/>
      <c r="I122" s="1540"/>
      <c r="J122" s="1540"/>
      <c r="K122" s="1540"/>
      <c r="L122" s="1540"/>
      <c r="M122" s="1540"/>
      <c r="N122" s="1541"/>
      <c r="O122" s="1539" t="s">
        <v>196</v>
      </c>
      <c r="P122" s="1540"/>
      <c r="Q122" s="1540"/>
      <c r="R122" s="1540"/>
      <c r="S122" s="1540"/>
      <c r="T122" s="1540"/>
      <c r="U122" s="1540"/>
      <c r="V122" s="1540"/>
      <c r="W122" s="1540"/>
      <c r="X122" s="1540"/>
      <c r="Y122" s="1540"/>
      <c r="Z122" s="1540"/>
      <c r="AA122" s="1541"/>
      <c r="AI122" s="99"/>
      <c r="AJ122" s="99"/>
      <c r="AK122" s="99"/>
      <c r="AL122" s="99"/>
      <c r="AM122" s="99"/>
    </row>
    <row r="123" spans="1:39" x14ac:dyDescent="0.2">
      <c r="A123" s="196"/>
      <c r="B123" s="1536" t="s">
        <v>121</v>
      </c>
      <c r="C123" s="1537"/>
      <c r="D123" s="1537"/>
      <c r="E123" s="1537"/>
      <c r="F123" s="1537"/>
      <c r="G123" s="1537"/>
      <c r="H123" s="1537"/>
      <c r="I123" s="1537"/>
      <c r="J123" s="1537"/>
      <c r="K123" s="1537"/>
      <c r="L123" s="1538"/>
      <c r="M123" s="254"/>
      <c r="N123" s="197"/>
      <c r="O123" s="1536" t="s">
        <v>121</v>
      </c>
      <c r="P123" s="1537"/>
      <c r="Q123" s="1537"/>
      <c r="R123" s="1537"/>
      <c r="S123" s="1537"/>
      <c r="T123" s="1537"/>
      <c r="U123" s="1537"/>
      <c r="V123" s="1537"/>
      <c r="W123" s="1537"/>
      <c r="X123" s="1537"/>
      <c r="Y123" s="1538"/>
      <c r="Z123" s="254"/>
      <c r="AA123" s="197"/>
      <c r="AC123" s="801" t="s">
        <v>267</v>
      </c>
      <c r="AD123" s="106" t="b">
        <f>INDEX(TECH_OPT_FUEL2_Cls1,MATCH(RIGHT(O122),TECH_OPT_ROWS_Cls1,0))&lt;&gt;"N/A"</f>
        <v>0</v>
      </c>
      <c r="AI123" s="99"/>
      <c r="AJ123" s="99"/>
      <c r="AK123" s="99"/>
      <c r="AL123" s="99"/>
      <c r="AM123" s="99"/>
    </row>
    <row r="124" spans="1:39" ht="13.5" thickBot="1" x14ac:dyDescent="0.25">
      <c r="A124" s="203"/>
      <c r="B124" s="210" t="s">
        <v>28</v>
      </c>
      <c r="C124" s="211" t="s">
        <v>29</v>
      </c>
      <c r="D124" s="211" t="s">
        <v>30</v>
      </c>
      <c r="E124" s="211" t="s">
        <v>31</v>
      </c>
      <c r="F124" s="211" t="s">
        <v>32</v>
      </c>
      <c r="G124" s="211" t="s">
        <v>33</v>
      </c>
      <c r="H124" s="211" t="s">
        <v>34</v>
      </c>
      <c r="I124" s="211" t="s">
        <v>35</v>
      </c>
      <c r="J124" s="211" t="s">
        <v>36</v>
      </c>
      <c r="K124" s="211" t="s">
        <v>37</v>
      </c>
      <c r="L124" s="249" t="s">
        <v>38</v>
      </c>
      <c r="M124" s="255" t="s">
        <v>122</v>
      </c>
      <c r="N124" s="204" t="s">
        <v>123</v>
      </c>
      <c r="O124" s="210" t="s">
        <v>28</v>
      </c>
      <c r="P124" s="211" t="s">
        <v>29</v>
      </c>
      <c r="Q124" s="211" t="s">
        <v>30</v>
      </c>
      <c r="R124" s="211" t="s">
        <v>31</v>
      </c>
      <c r="S124" s="211" t="s">
        <v>32</v>
      </c>
      <c r="T124" s="211" t="s">
        <v>33</v>
      </c>
      <c r="U124" s="211" t="s">
        <v>34</v>
      </c>
      <c r="V124" s="211" t="s">
        <v>35</v>
      </c>
      <c r="W124" s="211" t="s">
        <v>36</v>
      </c>
      <c r="X124" s="211" t="s">
        <v>37</v>
      </c>
      <c r="Y124" s="249" t="s">
        <v>38</v>
      </c>
      <c r="Z124" s="255" t="s">
        <v>122</v>
      </c>
      <c r="AA124" s="204" t="s">
        <v>123</v>
      </c>
      <c r="AB124" s="783"/>
      <c r="AC124" s="801" t="s">
        <v>268</v>
      </c>
      <c r="AD124" s="106">
        <f>MATCH(RIGHT(O122),TECH_OPT_ROWS_Cls1,0)</f>
        <v>3</v>
      </c>
      <c r="AI124" s="99"/>
      <c r="AJ124" s="99"/>
      <c r="AK124" s="99"/>
      <c r="AL124" s="99"/>
      <c r="AM124" s="99"/>
    </row>
    <row r="125" spans="1:39" ht="14.25" thickTop="1" thickBot="1" x14ac:dyDescent="0.25">
      <c r="A125" s="220" t="s">
        <v>124</v>
      </c>
      <c r="B125" s="212">
        <f t="array" ref="B125:L125">TRANSPOSE(Cls3CentTruckShr)</f>
        <v>0.16490316390132354</v>
      </c>
      <c r="C125" s="213">
        <v>0.14150050624583405</v>
      </c>
      <c r="D125" s="213">
        <v>5.0842757108027201E-2</v>
      </c>
      <c r="E125" s="213">
        <v>1.7493235097392132E-2</v>
      </c>
      <c r="F125" s="213">
        <v>6.5645600537602268E-3</v>
      </c>
      <c r="G125" s="213">
        <v>1.3068268788829179E-4</v>
      </c>
      <c r="H125" s="213">
        <v>2.9863696966199553E-3</v>
      </c>
      <c r="I125" s="213">
        <v>0</v>
      </c>
      <c r="J125" s="213">
        <v>0</v>
      </c>
      <c r="K125" s="213">
        <v>5.0573390409248292E-4</v>
      </c>
      <c r="L125" s="250">
        <v>0</v>
      </c>
      <c r="M125" s="256"/>
      <c r="N125" s="208"/>
      <c r="O125" s="212">
        <f t="array" ref="O125:Y125">TRANSPOSE(Cls3NCentTruckShr)</f>
        <v>0.27324001996593789</v>
      </c>
      <c r="P125" s="213">
        <v>0.25610450783680394</v>
      </c>
      <c r="Q125" s="213">
        <v>4.6572125423937315E-2</v>
      </c>
      <c r="R125" s="213">
        <v>2.2779497082922668E-2</v>
      </c>
      <c r="S125" s="213">
        <v>5.0811779544371336E-3</v>
      </c>
      <c r="T125" s="213">
        <v>2.5955840495899339E-3</v>
      </c>
      <c r="U125" s="213">
        <v>4.3441677754441459E-3</v>
      </c>
      <c r="V125" s="213">
        <v>3.7558983870508854E-3</v>
      </c>
      <c r="W125" s="213">
        <v>4.897828379299261E-4</v>
      </c>
      <c r="X125" s="213">
        <v>0</v>
      </c>
      <c r="Y125" s="1052">
        <v>1.1022999100839563E-4</v>
      </c>
      <c r="Z125" s="1057"/>
      <c r="AA125" s="1059">
        <v>0.76263667822937764</v>
      </c>
      <c r="AI125" s="99"/>
      <c r="AJ125" s="99"/>
      <c r="AK125" s="99"/>
      <c r="AL125" s="99"/>
      <c r="AM125" s="99"/>
    </row>
    <row r="126" spans="1:39" x14ac:dyDescent="0.2">
      <c r="A126" s="203" t="s">
        <v>125</v>
      </c>
      <c r="B126" s="770">
        <f t="array" ref="B126:L126">TRANSPOSE(Cls3CentVMTShr)</f>
        <v>7.4407503791532936E-2</v>
      </c>
      <c r="C126" s="771">
        <v>0.15052192967997111</v>
      </c>
      <c r="D126" s="771">
        <v>8.9028098283245441E-2</v>
      </c>
      <c r="E126" s="771">
        <v>4.5356257743642811E-2</v>
      </c>
      <c r="F126" s="771">
        <v>2.1016507050137231E-2</v>
      </c>
      <c r="G126" s="771">
        <v>4.9007047894213725E-4</v>
      </c>
      <c r="H126" s="771">
        <v>1.4797621296467818E-2</v>
      </c>
      <c r="I126" s="771">
        <v>0</v>
      </c>
      <c r="J126" s="771">
        <v>0</v>
      </c>
      <c r="K126" s="771">
        <v>3.7103078033661591E-3</v>
      </c>
      <c r="L126" s="1053">
        <v>0</v>
      </c>
      <c r="M126" s="1054"/>
      <c r="N126" s="1055"/>
      <c r="O126" s="770">
        <f t="array" ref="O126:Y126">TRANSPOSE(Cls3NCentVMTShr)</f>
        <v>0.11481596497083862</v>
      </c>
      <c r="P126" s="771">
        <v>0.26987209279577573</v>
      </c>
      <c r="Q126" s="771">
        <v>8.3836105982992667E-2</v>
      </c>
      <c r="R126" s="771">
        <v>5.9842896537765707E-2</v>
      </c>
      <c r="S126" s="771">
        <v>1.6413649143963899E-2</v>
      </c>
      <c r="T126" s="771">
        <v>1.0165768727376887E-2</v>
      </c>
      <c r="U126" s="771">
        <v>2.0700108148562976E-2</v>
      </c>
      <c r="V126" s="771">
        <v>2.0956833812228508E-2</v>
      </c>
      <c r="W126" s="771">
        <v>3.1584958359553582E-3</v>
      </c>
      <c r="X126" s="771">
        <v>0</v>
      </c>
      <c r="Y126" s="772">
        <v>9.0978791723388369E-4</v>
      </c>
      <c r="Z126" s="1060">
        <v>0.76961852331138836</v>
      </c>
      <c r="AA126" s="1055"/>
      <c r="AB126" s="1552" t="str">
        <f>"% of miles on f2 for Tech "&amp; RIGHT(O121)&amp;" adopters"</f>
        <v>% of miles on f2 for Tech  adopters</v>
      </c>
      <c r="AC126" s="1553"/>
      <c r="AD126" s="1554"/>
      <c r="AE126" s="1080" t="s">
        <v>295</v>
      </c>
      <c r="AF126" s="1081"/>
      <c r="AG126" s="1081"/>
      <c r="AH126" s="1071" t="s">
        <v>294</v>
      </c>
      <c r="AI126" s="1072"/>
      <c r="AJ126" s="99"/>
      <c r="AK126" s="99"/>
      <c r="AL126" s="99"/>
      <c r="AM126" s="99"/>
    </row>
    <row r="127" spans="1:39" ht="13.5" thickBot="1" x14ac:dyDescent="0.25">
      <c r="A127" s="789" t="s">
        <v>266</v>
      </c>
      <c r="B127" s="780">
        <f t="array" ref="B127:L127">TRANSPOSE(Cls3CentVMT/OPDAYS_Cls3)</f>
        <v>49.202805162026571</v>
      </c>
      <c r="C127" s="781">
        <v>115.99623692884222</v>
      </c>
      <c r="D127" s="781">
        <v>190.94140758026836</v>
      </c>
      <c r="E127" s="781">
        <v>282.72824571583544</v>
      </c>
      <c r="F127" s="781">
        <v>349.10577157713089</v>
      </c>
      <c r="G127" s="781">
        <v>408.92399999999998</v>
      </c>
      <c r="H127" s="781">
        <v>540.31926836851005</v>
      </c>
      <c r="I127" s="781">
        <v>600</v>
      </c>
      <c r="J127" s="781">
        <v>680</v>
      </c>
      <c r="K127" s="781">
        <v>800.00000000000011</v>
      </c>
      <c r="L127" s="782">
        <v>800</v>
      </c>
      <c r="M127" s="778"/>
      <c r="N127" s="779"/>
      <c r="O127" s="780">
        <f t="array" ref="O127:Y127">TRANSPOSE(Cls3NCentVMT/OPDAYS_Cls3)</f>
        <v>45.820527909508108</v>
      </c>
      <c r="P127" s="781">
        <v>114.90604343518244</v>
      </c>
      <c r="Q127" s="781">
        <v>196.29405935940918</v>
      </c>
      <c r="R127" s="781">
        <v>286.46435582159182</v>
      </c>
      <c r="S127" s="781">
        <v>352.24339419308075</v>
      </c>
      <c r="T127" s="781">
        <v>427.07804424634116</v>
      </c>
      <c r="U127" s="781">
        <v>519.59880241076587</v>
      </c>
      <c r="V127" s="781">
        <v>608.4346682070543</v>
      </c>
      <c r="W127" s="781">
        <v>703.2</v>
      </c>
      <c r="X127" s="781">
        <v>760</v>
      </c>
      <c r="Y127" s="1056">
        <v>900</v>
      </c>
      <c r="Z127" s="790"/>
      <c r="AA127" s="779"/>
      <c r="AB127" s="792" t="s">
        <v>186</v>
      </c>
      <c r="AC127" s="793" t="s">
        <v>15</v>
      </c>
      <c r="AD127" s="794" t="s">
        <v>18</v>
      </c>
      <c r="AE127" s="202" t="s">
        <v>186</v>
      </c>
      <c r="AF127" s="1082" t="s">
        <v>15</v>
      </c>
      <c r="AG127" s="1082" t="s">
        <v>18</v>
      </c>
      <c r="AH127" s="1083" t="s">
        <v>186</v>
      </c>
      <c r="AI127" s="1084" t="s">
        <v>15</v>
      </c>
    </row>
    <row r="128" spans="1:39" ht="13.5" thickTop="1" x14ac:dyDescent="0.2">
      <c r="A128" s="198">
        <v>2007</v>
      </c>
      <c r="B128" s="214">
        <v>0</v>
      </c>
      <c r="C128" s="215">
        <v>0</v>
      </c>
      <c r="D128" s="215">
        <v>0</v>
      </c>
      <c r="E128" s="215">
        <v>0</v>
      </c>
      <c r="F128" s="215">
        <v>0</v>
      </c>
      <c r="G128" s="215">
        <v>0</v>
      </c>
      <c r="H128" s="215">
        <v>0</v>
      </c>
      <c r="I128" s="215">
        <v>0</v>
      </c>
      <c r="J128" s="215">
        <v>0</v>
      </c>
      <c r="K128" s="215">
        <v>0</v>
      </c>
      <c r="L128" s="251">
        <v>0</v>
      </c>
      <c r="M128" s="259">
        <f>SUMPRODUCT(B128:L128,$B$126:$L$126)</f>
        <v>0</v>
      </c>
      <c r="N128" s="728">
        <f>SUMPRODUCT(B128:L128,$B$125:$L$125)</f>
        <v>0</v>
      </c>
      <c r="O128" s="214">
        <v>0</v>
      </c>
      <c r="P128" s="215">
        <v>0</v>
      </c>
      <c r="Q128" s="215">
        <v>0</v>
      </c>
      <c r="R128" s="215">
        <v>0</v>
      </c>
      <c r="S128" s="215">
        <v>0</v>
      </c>
      <c r="T128" s="215">
        <v>0</v>
      </c>
      <c r="U128" s="215">
        <v>0</v>
      </c>
      <c r="V128" s="215">
        <v>0</v>
      </c>
      <c r="W128" s="215">
        <v>0</v>
      </c>
      <c r="X128" s="215">
        <v>0</v>
      </c>
      <c r="Y128" s="251">
        <v>0</v>
      </c>
      <c r="Z128" s="259">
        <f>SUMPRODUCT(O128:Y128,$O$126:$Y$126)</f>
        <v>0</v>
      </c>
      <c r="AA128" s="728">
        <f>SUMPRODUCT(O128:Y128,$O$125:$Y$125)</f>
        <v>0</v>
      </c>
      <c r="AB128" s="795">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796">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069">
        <f>AB128*AH128+AC128*AI128</f>
        <v>0</v>
      </c>
      <c r="AE128" s="1073">
        <f t="shared" ref="AE128:AE142" si="68">SUMPRODUCT($B$74:$L$74,B128:L128)</f>
        <v>0</v>
      </c>
      <c r="AF128" s="1074">
        <f t="shared" ref="AF128:AF142" si="69">SUMPRODUCT($O$74:$Y$74,O128:Y128)</f>
        <v>0</v>
      </c>
      <c r="AG128" s="1074">
        <f t="shared" ref="AG128:AG142" si="70">SUM(AE128:AF128)</f>
        <v>0</v>
      </c>
      <c r="AH128" s="1015">
        <f>IF(AG128&gt;0,AE128/AG128,0)</f>
        <v>0</v>
      </c>
      <c r="AI128" s="1075">
        <f>IF(AG128&gt;0,AF128/AG128,0)</f>
        <v>0</v>
      </c>
      <c r="AJ128" s="99"/>
      <c r="AK128" s="99"/>
      <c r="AL128" s="99"/>
      <c r="AM128" s="99"/>
    </row>
    <row r="129" spans="1:39" x14ac:dyDescent="0.2">
      <c r="A129" s="199">
        <v>2008</v>
      </c>
      <c r="B129" s="216">
        <v>0</v>
      </c>
      <c r="C129" s="217">
        <v>0</v>
      </c>
      <c r="D129" s="217">
        <v>0</v>
      </c>
      <c r="E129" s="217">
        <v>0</v>
      </c>
      <c r="F129" s="217">
        <v>0</v>
      </c>
      <c r="G129" s="217">
        <v>0</v>
      </c>
      <c r="H129" s="217">
        <v>0</v>
      </c>
      <c r="I129" s="217">
        <v>0</v>
      </c>
      <c r="J129" s="217">
        <v>0</v>
      </c>
      <c r="K129" s="217">
        <v>0</v>
      </c>
      <c r="L129" s="252">
        <v>0</v>
      </c>
      <c r="M129" s="168">
        <f t="shared" ref="M129:M171" si="71">SUMPRODUCT(B129:L129,$B$126:$L$126)</f>
        <v>0</v>
      </c>
      <c r="N129" s="170">
        <f t="shared" ref="N129:N171" si="72">SUMPRODUCT(B129:L129,$B$125:$L$125)</f>
        <v>0</v>
      </c>
      <c r="O129" s="216">
        <v>0</v>
      </c>
      <c r="P129" s="217">
        <v>0</v>
      </c>
      <c r="Q129" s="217">
        <v>0</v>
      </c>
      <c r="R129" s="217">
        <v>0</v>
      </c>
      <c r="S129" s="217">
        <v>0</v>
      </c>
      <c r="T129" s="217">
        <v>0</v>
      </c>
      <c r="U129" s="217">
        <v>0</v>
      </c>
      <c r="V129" s="217">
        <v>0</v>
      </c>
      <c r="W129" s="217">
        <v>0</v>
      </c>
      <c r="X129" s="217">
        <v>0</v>
      </c>
      <c r="Y129" s="252">
        <v>0</v>
      </c>
      <c r="Z129" s="168">
        <f t="shared" ref="Z129:Z171" si="73">SUMPRODUCT(O129:Y129,$O$126:$Y$126)</f>
        <v>0</v>
      </c>
      <c r="AA129" s="170">
        <f t="shared" ref="AA129:AA171" si="74">SUMPRODUCT(O129:Y129,$O$125:$Y$125)</f>
        <v>0</v>
      </c>
      <c r="AB129" s="795">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796">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069">
        <f t="shared" ref="AD129:AD153" si="75">AB129*AH129+AC129*AI129</f>
        <v>0</v>
      </c>
      <c r="AE129" s="1073">
        <f t="shared" si="68"/>
        <v>0</v>
      </c>
      <c r="AF129" s="1074">
        <f t="shared" si="69"/>
        <v>0</v>
      </c>
      <c r="AG129" s="1074">
        <f t="shared" si="70"/>
        <v>0</v>
      </c>
      <c r="AH129" s="1015">
        <f t="shared" ref="AH129:AH171" si="76">IF(AG129&gt;0,AE129/AG129,0)</f>
        <v>0</v>
      </c>
      <c r="AI129" s="1075">
        <f t="shared" ref="AI129:AI171" si="77">IF(AG129&gt;0,AF129/AG129,0)</f>
        <v>0</v>
      </c>
      <c r="AJ129" s="99"/>
      <c r="AK129" s="99"/>
      <c r="AL129" s="99"/>
      <c r="AM129" s="99"/>
    </row>
    <row r="130" spans="1:39" x14ac:dyDescent="0.2">
      <c r="A130" s="199">
        <v>2009</v>
      </c>
      <c r="B130" s="216">
        <v>0</v>
      </c>
      <c r="C130" s="217">
        <v>0</v>
      </c>
      <c r="D130" s="217">
        <v>0</v>
      </c>
      <c r="E130" s="217">
        <v>0</v>
      </c>
      <c r="F130" s="217">
        <v>0</v>
      </c>
      <c r="G130" s="217">
        <v>0</v>
      </c>
      <c r="H130" s="217">
        <v>0</v>
      </c>
      <c r="I130" s="217">
        <v>0</v>
      </c>
      <c r="J130" s="217">
        <v>0</v>
      </c>
      <c r="K130" s="217">
        <v>0</v>
      </c>
      <c r="L130" s="252">
        <v>0</v>
      </c>
      <c r="M130" s="168">
        <f t="shared" si="71"/>
        <v>0</v>
      </c>
      <c r="N130" s="170">
        <f t="shared" si="72"/>
        <v>0</v>
      </c>
      <c r="O130" s="216">
        <v>0</v>
      </c>
      <c r="P130" s="217">
        <v>0</v>
      </c>
      <c r="Q130" s="217">
        <v>0</v>
      </c>
      <c r="R130" s="217">
        <v>0</v>
      </c>
      <c r="S130" s="217">
        <v>0</v>
      </c>
      <c r="T130" s="217">
        <v>0</v>
      </c>
      <c r="U130" s="217">
        <v>0</v>
      </c>
      <c r="V130" s="217">
        <v>0</v>
      </c>
      <c r="W130" s="217">
        <v>0</v>
      </c>
      <c r="X130" s="217">
        <v>0</v>
      </c>
      <c r="Y130" s="252">
        <v>0</v>
      </c>
      <c r="Z130" s="168">
        <f t="shared" si="73"/>
        <v>0</v>
      </c>
      <c r="AA130" s="170">
        <f t="shared" si="74"/>
        <v>0</v>
      </c>
      <c r="AB130" s="795">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796">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069">
        <f t="shared" si="75"/>
        <v>0</v>
      </c>
      <c r="AE130" s="1073">
        <f t="shared" si="68"/>
        <v>0</v>
      </c>
      <c r="AF130" s="1074">
        <f t="shared" si="69"/>
        <v>0</v>
      </c>
      <c r="AG130" s="1074">
        <f t="shared" si="70"/>
        <v>0</v>
      </c>
      <c r="AH130" s="1015">
        <f t="shared" si="76"/>
        <v>0</v>
      </c>
      <c r="AI130" s="1075">
        <f t="shared" si="77"/>
        <v>0</v>
      </c>
      <c r="AJ130" s="99"/>
      <c r="AK130" s="99"/>
      <c r="AL130" s="99"/>
      <c r="AM130" s="99"/>
    </row>
    <row r="131" spans="1:39" ht="13.5" thickBot="1" x14ac:dyDescent="0.25">
      <c r="A131" s="200">
        <v>2010</v>
      </c>
      <c r="B131" s="218">
        <v>0</v>
      </c>
      <c r="C131" s="219">
        <v>0</v>
      </c>
      <c r="D131" s="219">
        <v>0</v>
      </c>
      <c r="E131" s="219">
        <v>0</v>
      </c>
      <c r="F131" s="219">
        <v>0</v>
      </c>
      <c r="G131" s="219">
        <v>0</v>
      </c>
      <c r="H131" s="219">
        <v>0</v>
      </c>
      <c r="I131" s="219">
        <v>0</v>
      </c>
      <c r="J131" s="219">
        <v>0</v>
      </c>
      <c r="K131" s="219">
        <v>0</v>
      </c>
      <c r="L131" s="253">
        <v>0</v>
      </c>
      <c r="M131" s="182">
        <f t="shared" si="71"/>
        <v>0</v>
      </c>
      <c r="N131" s="184">
        <f t="shared" si="72"/>
        <v>0</v>
      </c>
      <c r="O131" s="218">
        <v>0</v>
      </c>
      <c r="P131" s="219">
        <v>0</v>
      </c>
      <c r="Q131" s="219">
        <v>0</v>
      </c>
      <c r="R131" s="219">
        <v>0</v>
      </c>
      <c r="S131" s="219">
        <v>0</v>
      </c>
      <c r="T131" s="219">
        <v>0</v>
      </c>
      <c r="U131" s="219">
        <v>0</v>
      </c>
      <c r="V131" s="219">
        <v>0</v>
      </c>
      <c r="W131" s="219">
        <v>0</v>
      </c>
      <c r="X131" s="219">
        <v>0</v>
      </c>
      <c r="Y131" s="253">
        <v>0</v>
      </c>
      <c r="Z131" s="182">
        <f t="shared" si="73"/>
        <v>0</v>
      </c>
      <c r="AA131" s="184">
        <f t="shared" si="74"/>
        <v>0</v>
      </c>
      <c r="AB131" s="795">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796">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069">
        <f t="shared" si="75"/>
        <v>0</v>
      </c>
      <c r="AE131" s="1073">
        <f t="shared" si="68"/>
        <v>0</v>
      </c>
      <c r="AF131" s="1074">
        <f t="shared" si="69"/>
        <v>0</v>
      </c>
      <c r="AG131" s="1074">
        <f t="shared" si="70"/>
        <v>0</v>
      </c>
      <c r="AH131" s="1015">
        <f t="shared" si="76"/>
        <v>0</v>
      </c>
      <c r="AI131" s="1075">
        <f t="shared" si="77"/>
        <v>0</v>
      </c>
      <c r="AJ131" s="99"/>
      <c r="AK131" s="99"/>
      <c r="AL131" s="99"/>
      <c r="AM131" s="99"/>
    </row>
    <row r="132" spans="1:39" x14ac:dyDescent="0.2">
      <c r="A132" s="201">
        <v>2011</v>
      </c>
      <c r="B132" s="214">
        <v>0</v>
      </c>
      <c r="C132" s="215">
        <v>0</v>
      </c>
      <c r="D132" s="215">
        <v>0</v>
      </c>
      <c r="E132" s="215">
        <v>0</v>
      </c>
      <c r="F132" s="215">
        <v>0</v>
      </c>
      <c r="G132" s="215">
        <v>0</v>
      </c>
      <c r="H132" s="215">
        <v>0</v>
      </c>
      <c r="I132" s="215">
        <v>0</v>
      </c>
      <c r="J132" s="215">
        <v>0</v>
      </c>
      <c r="K132" s="215">
        <v>0</v>
      </c>
      <c r="L132" s="251">
        <v>0</v>
      </c>
      <c r="M132" s="154">
        <f t="shared" si="71"/>
        <v>0</v>
      </c>
      <c r="N132" s="156">
        <f t="shared" si="72"/>
        <v>0</v>
      </c>
      <c r="O132" s="214">
        <v>0</v>
      </c>
      <c r="P132" s="215">
        <v>0</v>
      </c>
      <c r="Q132" s="215">
        <v>0</v>
      </c>
      <c r="R132" s="215">
        <v>0</v>
      </c>
      <c r="S132" s="215">
        <v>0</v>
      </c>
      <c r="T132" s="215">
        <v>0</v>
      </c>
      <c r="U132" s="215">
        <v>0</v>
      </c>
      <c r="V132" s="215">
        <v>0</v>
      </c>
      <c r="W132" s="215">
        <v>0</v>
      </c>
      <c r="X132" s="215">
        <v>0</v>
      </c>
      <c r="Y132" s="251">
        <v>0</v>
      </c>
      <c r="Z132" s="154">
        <f t="shared" si="73"/>
        <v>0</v>
      </c>
      <c r="AA132" s="156">
        <f t="shared" si="74"/>
        <v>0</v>
      </c>
      <c r="AB132" s="795">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796">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069">
        <f t="shared" si="75"/>
        <v>0</v>
      </c>
      <c r="AE132" s="1073">
        <f t="shared" si="68"/>
        <v>0</v>
      </c>
      <c r="AF132" s="1074">
        <f t="shared" si="69"/>
        <v>0</v>
      </c>
      <c r="AG132" s="1074">
        <f t="shared" si="70"/>
        <v>0</v>
      </c>
      <c r="AH132" s="1015">
        <f t="shared" si="76"/>
        <v>0</v>
      </c>
      <c r="AI132" s="1075">
        <f t="shared" si="77"/>
        <v>0</v>
      </c>
      <c r="AJ132" s="99"/>
      <c r="AK132" s="99"/>
      <c r="AL132" s="99"/>
      <c r="AM132" s="99"/>
    </row>
    <row r="133" spans="1:39" x14ac:dyDescent="0.2">
      <c r="A133" s="202">
        <v>2012</v>
      </c>
      <c r="B133" s="216">
        <v>0</v>
      </c>
      <c r="C133" s="217">
        <v>0</v>
      </c>
      <c r="D133" s="217">
        <v>0</v>
      </c>
      <c r="E133" s="217">
        <v>0</v>
      </c>
      <c r="F133" s="217">
        <v>0</v>
      </c>
      <c r="G133" s="217">
        <v>0</v>
      </c>
      <c r="H133" s="217">
        <v>0</v>
      </c>
      <c r="I133" s="217">
        <v>0</v>
      </c>
      <c r="J133" s="217">
        <v>0</v>
      </c>
      <c r="K133" s="217">
        <v>0</v>
      </c>
      <c r="L133" s="252">
        <v>0</v>
      </c>
      <c r="M133" s="168">
        <f t="shared" si="71"/>
        <v>0</v>
      </c>
      <c r="N133" s="170">
        <f t="shared" si="72"/>
        <v>0</v>
      </c>
      <c r="O133" s="216">
        <v>0</v>
      </c>
      <c r="P133" s="217">
        <v>0</v>
      </c>
      <c r="Q133" s="217">
        <v>0</v>
      </c>
      <c r="R133" s="217">
        <v>0</v>
      </c>
      <c r="S133" s="217">
        <v>0</v>
      </c>
      <c r="T133" s="217">
        <v>0</v>
      </c>
      <c r="U133" s="217">
        <v>0</v>
      </c>
      <c r="V133" s="217">
        <v>0</v>
      </c>
      <c r="W133" s="217">
        <v>0</v>
      </c>
      <c r="X133" s="217">
        <v>0</v>
      </c>
      <c r="Y133" s="252">
        <v>0</v>
      </c>
      <c r="Z133" s="168">
        <f t="shared" si="73"/>
        <v>0</v>
      </c>
      <c r="AA133" s="170">
        <f t="shared" si="74"/>
        <v>0</v>
      </c>
      <c r="AB133" s="795">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796">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069">
        <f t="shared" si="75"/>
        <v>0</v>
      </c>
      <c r="AE133" s="1073">
        <f t="shared" si="68"/>
        <v>0</v>
      </c>
      <c r="AF133" s="1074">
        <f t="shared" si="69"/>
        <v>0</v>
      </c>
      <c r="AG133" s="1074">
        <f t="shared" si="70"/>
        <v>0</v>
      </c>
      <c r="AH133" s="1015">
        <f t="shared" si="76"/>
        <v>0</v>
      </c>
      <c r="AI133" s="1075">
        <f t="shared" si="77"/>
        <v>0</v>
      </c>
      <c r="AJ133" s="99"/>
      <c r="AK133" s="99"/>
      <c r="AL133" s="99"/>
      <c r="AM133" s="99"/>
    </row>
    <row r="134" spans="1:39" x14ac:dyDescent="0.2">
      <c r="A134" s="202">
        <v>2013</v>
      </c>
      <c r="B134" s="216">
        <v>0</v>
      </c>
      <c r="C134" s="217">
        <v>0</v>
      </c>
      <c r="D134" s="217">
        <v>0</v>
      </c>
      <c r="E134" s="217">
        <v>0</v>
      </c>
      <c r="F134" s="217">
        <v>0</v>
      </c>
      <c r="G134" s="217">
        <v>0</v>
      </c>
      <c r="H134" s="217">
        <v>0</v>
      </c>
      <c r="I134" s="217">
        <v>0</v>
      </c>
      <c r="J134" s="217">
        <v>0</v>
      </c>
      <c r="K134" s="217">
        <v>0</v>
      </c>
      <c r="L134" s="252">
        <v>0</v>
      </c>
      <c r="M134" s="168">
        <f t="shared" si="71"/>
        <v>0</v>
      </c>
      <c r="N134" s="170">
        <f t="shared" si="72"/>
        <v>0</v>
      </c>
      <c r="O134" s="216">
        <v>0</v>
      </c>
      <c r="P134" s="217">
        <v>0</v>
      </c>
      <c r="Q134" s="217">
        <v>0</v>
      </c>
      <c r="R134" s="217">
        <v>0</v>
      </c>
      <c r="S134" s="217">
        <v>0</v>
      </c>
      <c r="T134" s="217">
        <v>0</v>
      </c>
      <c r="U134" s="217">
        <v>0</v>
      </c>
      <c r="V134" s="217">
        <v>0</v>
      </c>
      <c r="W134" s="217">
        <v>0</v>
      </c>
      <c r="X134" s="217">
        <v>0</v>
      </c>
      <c r="Y134" s="252">
        <v>0</v>
      </c>
      <c r="Z134" s="168">
        <f t="shared" si="73"/>
        <v>0</v>
      </c>
      <c r="AA134" s="170">
        <f t="shared" si="74"/>
        <v>0</v>
      </c>
      <c r="AB134" s="795">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796">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069">
        <f t="shared" si="75"/>
        <v>0</v>
      </c>
      <c r="AE134" s="1073">
        <f t="shared" si="68"/>
        <v>0</v>
      </c>
      <c r="AF134" s="1074">
        <f t="shared" si="69"/>
        <v>0</v>
      </c>
      <c r="AG134" s="1074">
        <f t="shared" si="70"/>
        <v>0</v>
      </c>
      <c r="AH134" s="1015">
        <f t="shared" si="76"/>
        <v>0</v>
      </c>
      <c r="AI134" s="1075">
        <f t="shared" si="77"/>
        <v>0</v>
      </c>
      <c r="AJ134" s="99"/>
      <c r="AK134" s="99"/>
      <c r="AL134" s="99"/>
      <c r="AM134" s="99"/>
    </row>
    <row r="135" spans="1:39" x14ac:dyDescent="0.2">
      <c r="A135" s="202">
        <v>2014</v>
      </c>
      <c r="B135" s="216">
        <v>0</v>
      </c>
      <c r="C135" s="217">
        <v>0</v>
      </c>
      <c r="D135" s="217">
        <v>0</v>
      </c>
      <c r="E135" s="217">
        <v>0</v>
      </c>
      <c r="F135" s="217">
        <v>0</v>
      </c>
      <c r="G135" s="217">
        <v>0</v>
      </c>
      <c r="H135" s="217">
        <v>0</v>
      </c>
      <c r="I135" s="217">
        <v>0</v>
      </c>
      <c r="J135" s="217">
        <v>0</v>
      </c>
      <c r="K135" s="217">
        <v>0</v>
      </c>
      <c r="L135" s="252">
        <v>0</v>
      </c>
      <c r="M135" s="168">
        <f t="shared" si="71"/>
        <v>0</v>
      </c>
      <c r="N135" s="170">
        <f t="shared" si="72"/>
        <v>0</v>
      </c>
      <c r="O135" s="216">
        <v>0</v>
      </c>
      <c r="P135" s="217">
        <v>0</v>
      </c>
      <c r="Q135" s="217">
        <v>0</v>
      </c>
      <c r="R135" s="217">
        <v>0</v>
      </c>
      <c r="S135" s="217">
        <v>0</v>
      </c>
      <c r="T135" s="217">
        <v>0</v>
      </c>
      <c r="U135" s="217">
        <v>0</v>
      </c>
      <c r="V135" s="217">
        <v>0</v>
      </c>
      <c r="W135" s="217">
        <v>0</v>
      </c>
      <c r="X135" s="217">
        <v>0</v>
      </c>
      <c r="Y135" s="252">
        <v>0</v>
      </c>
      <c r="Z135" s="168">
        <f t="shared" si="73"/>
        <v>0</v>
      </c>
      <c r="AA135" s="170">
        <f t="shared" si="74"/>
        <v>0</v>
      </c>
      <c r="AB135" s="795">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796">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069">
        <f t="shared" si="75"/>
        <v>0</v>
      </c>
      <c r="AE135" s="1073">
        <f t="shared" si="68"/>
        <v>0</v>
      </c>
      <c r="AF135" s="1074">
        <f t="shared" si="69"/>
        <v>0</v>
      </c>
      <c r="AG135" s="1074">
        <f t="shared" si="70"/>
        <v>0</v>
      </c>
      <c r="AH135" s="1015">
        <f t="shared" si="76"/>
        <v>0</v>
      </c>
      <c r="AI135" s="1075">
        <f t="shared" si="77"/>
        <v>0</v>
      </c>
      <c r="AJ135" s="99"/>
      <c r="AK135" s="99"/>
      <c r="AL135" s="99"/>
      <c r="AM135" s="99"/>
    </row>
    <row r="136" spans="1:39" ht="13.5" thickBot="1" x14ac:dyDescent="0.25">
      <c r="A136" s="200">
        <v>2015</v>
      </c>
      <c r="B136" s="218">
        <v>0</v>
      </c>
      <c r="C136" s="219">
        <v>0</v>
      </c>
      <c r="D136" s="219">
        <v>0</v>
      </c>
      <c r="E136" s="219">
        <v>0</v>
      </c>
      <c r="F136" s="219">
        <v>0</v>
      </c>
      <c r="G136" s="219">
        <v>0</v>
      </c>
      <c r="H136" s="219">
        <v>0</v>
      </c>
      <c r="I136" s="219">
        <v>0</v>
      </c>
      <c r="J136" s="219">
        <v>0</v>
      </c>
      <c r="K136" s="219">
        <v>0</v>
      </c>
      <c r="L136" s="253">
        <v>0</v>
      </c>
      <c r="M136" s="182">
        <f t="shared" si="71"/>
        <v>0</v>
      </c>
      <c r="N136" s="184">
        <f t="shared" si="72"/>
        <v>0</v>
      </c>
      <c r="O136" s="218">
        <v>0</v>
      </c>
      <c r="P136" s="219">
        <v>0</v>
      </c>
      <c r="Q136" s="219">
        <v>0</v>
      </c>
      <c r="R136" s="219">
        <v>0</v>
      </c>
      <c r="S136" s="219">
        <v>0</v>
      </c>
      <c r="T136" s="219">
        <v>0</v>
      </c>
      <c r="U136" s="219">
        <v>0</v>
      </c>
      <c r="V136" s="219">
        <v>0</v>
      </c>
      <c r="W136" s="219">
        <v>0</v>
      </c>
      <c r="X136" s="219">
        <v>0</v>
      </c>
      <c r="Y136" s="253">
        <v>0</v>
      </c>
      <c r="Z136" s="182">
        <f t="shared" si="73"/>
        <v>0</v>
      </c>
      <c r="AA136" s="184">
        <f t="shared" si="74"/>
        <v>0</v>
      </c>
      <c r="AB136" s="795">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796">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069">
        <f t="shared" si="75"/>
        <v>0</v>
      </c>
      <c r="AE136" s="1073">
        <f t="shared" si="68"/>
        <v>0</v>
      </c>
      <c r="AF136" s="1074">
        <f t="shared" si="69"/>
        <v>0</v>
      </c>
      <c r="AG136" s="1074">
        <f t="shared" si="70"/>
        <v>0</v>
      </c>
      <c r="AH136" s="1015">
        <f t="shared" si="76"/>
        <v>0</v>
      </c>
      <c r="AI136" s="1075">
        <f t="shared" si="77"/>
        <v>0</v>
      </c>
      <c r="AJ136" s="99"/>
      <c r="AK136" s="99"/>
      <c r="AL136" s="99"/>
      <c r="AM136" s="99"/>
    </row>
    <row r="137" spans="1:39" x14ac:dyDescent="0.2">
      <c r="A137" s="201">
        <v>2016</v>
      </c>
      <c r="B137" s="214">
        <v>0</v>
      </c>
      <c r="C137" s="215">
        <v>0</v>
      </c>
      <c r="D137" s="215">
        <v>0</v>
      </c>
      <c r="E137" s="215">
        <v>0</v>
      </c>
      <c r="F137" s="215">
        <v>0</v>
      </c>
      <c r="G137" s="215">
        <v>0</v>
      </c>
      <c r="H137" s="215">
        <v>0</v>
      </c>
      <c r="I137" s="215">
        <v>0</v>
      </c>
      <c r="J137" s="215">
        <v>0</v>
      </c>
      <c r="K137" s="215">
        <v>0</v>
      </c>
      <c r="L137" s="251">
        <v>0</v>
      </c>
      <c r="M137" s="154">
        <f t="shared" si="71"/>
        <v>0</v>
      </c>
      <c r="N137" s="156">
        <f t="shared" si="72"/>
        <v>0</v>
      </c>
      <c r="O137" s="214">
        <v>0</v>
      </c>
      <c r="P137" s="215">
        <v>0</v>
      </c>
      <c r="Q137" s="215">
        <v>0</v>
      </c>
      <c r="R137" s="215">
        <v>0</v>
      </c>
      <c r="S137" s="215">
        <v>0</v>
      </c>
      <c r="T137" s="215">
        <v>0</v>
      </c>
      <c r="U137" s="215">
        <v>0</v>
      </c>
      <c r="V137" s="215">
        <v>0</v>
      </c>
      <c r="W137" s="215">
        <v>0</v>
      </c>
      <c r="X137" s="215">
        <v>0</v>
      </c>
      <c r="Y137" s="251">
        <v>0</v>
      </c>
      <c r="Z137" s="154">
        <f t="shared" si="73"/>
        <v>0</v>
      </c>
      <c r="AA137" s="156">
        <f t="shared" si="74"/>
        <v>0</v>
      </c>
      <c r="AB137" s="795">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796">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069">
        <f t="shared" si="75"/>
        <v>0</v>
      </c>
      <c r="AE137" s="1073">
        <f t="shared" si="68"/>
        <v>0</v>
      </c>
      <c r="AF137" s="1074">
        <f t="shared" si="69"/>
        <v>0</v>
      </c>
      <c r="AG137" s="1074">
        <f t="shared" si="70"/>
        <v>0</v>
      </c>
      <c r="AH137" s="1015">
        <f t="shared" si="76"/>
        <v>0</v>
      </c>
      <c r="AI137" s="1075">
        <f t="shared" si="77"/>
        <v>0</v>
      </c>
      <c r="AJ137" s="99"/>
      <c r="AK137" s="99"/>
      <c r="AL137" s="99"/>
      <c r="AM137" s="99"/>
    </row>
    <row r="138" spans="1:39" x14ac:dyDescent="0.2">
      <c r="A138" s="202">
        <v>2017</v>
      </c>
      <c r="B138" s="216">
        <v>0</v>
      </c>
      <c r="C138" s="217">
        <v>0</v>
      </c>
      <c r="D138" s="217">
        <v>0</v>
      </c>
      <c r="E138" s="217">
        <v>0</v>
      </c>
      <c r="F138" s="217">
        <v>0</v>
      </c>
      <c r="G138" s="217">
        <v>0</v>
      </c>
      <c r="H138" s="217">
        <v>0</v>
      </c>
      <c r="I138" s="217">
        <v>0</v>
      </c>
      <c r="J138" s="217">
        <v>0</v>
      </c>
      <c r="K138" s="217">
        <v>0</v>
      </c>
      <c r="L138" s="252">
        <v>0</v>
      </c>
      <c r="M138" s="168">
        <f t="shared" si="71"/>
        <v>0</v>
      </c>
      <c r="N138" s="170">
        <f t="shared" si="72"/>
        <v>0</v>
      </c>
      <c r="O138" s="216">
        <v>0</v>
      </c>
      <c r="P138" s="217">
        <v>0</v>
      </c>
      <c r="Q138" s="217">
        <v>0</v>
      </c>
      <c r="R138" s="217">
        <v>0</v>
      </c>
      <c r="S138" s="217">
        <v>0</v>
      </c>
      <c r="T138" s="217">
        <v>0</v>
      </c>
      <c r="U138" s="217">
        <v>0</v>
      </c>
      <c r="V138" s="217">
        <v>0</v>
      </c>
      <c r="W138" s="217">
        <v>0</v>
      </c>
      <c r="X138" s="217">
        <v>0</v>
      </c>
      <c r="Y138" s="252">
        <v>0</v>
      </c>
      <c r="Z138" s="168">
        <f t="shared" si="73"/>
        <v>0</v>
      </c>
      <c r="AA138" s="170">
        <f t="shared" si="74"/>
        <v>0</v>
      </c>
      <c r="AB138" s="795">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796">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069">
        <f t="shared" si="75"/>
        <v>0</v>
      </c>
      <c r="AE138" s="1073">
        <f t="shared" si="68"/>
        <v>0</v>
      </c>
      <c r="AF138" s="1074">
        <f t="shared" si="69"/>
        <v>0</v>
      </c>
      <c r="AG138" s="1074">
        <f t="shared" si="70"/>
        <v>0</v>
      </c>
      <c r="AH138" s="1015">
        <f t="shared" si="76"/>
        <v>0</v>
      </c>
      <c r="AI138" s="1075">
        <f t="shared" si="77"/>
        <v>0</v>
      </c>
      <c r="AJ138" s="99"/>
      <c r="AK138" s="99"/>
      <c r="AL138" s="99"/>
      <c r="AM138" s="99"/>
    </row>
    <row r="139" spans="1:39" x14ac:dyDescent="0.2">
      <c r="A139" s="202">
        <v>2018</v>
      </c>
      <c r="B139" s="216">
        <v>0</v>
      </c>
      <c r="C139" s="217">
        <v>0</v>
      </c>
      <c r="D139" s="217">
        <v>0</v>
      </c>
      <c r="E139" s="217">
        <v>0</v>
      </c>
      <c r="F139" s="217">
        <v>0</v>
      </c>
      <c r="G139" s="217">
        <v>0</v>
      </c>
      <c r="H139" s="217">
        <v>0</v>
      </c>
      <c r="I139" s="217">
        <v>0</v>
      </c>
      <c r="J139" s="217">
        <v>0</v>
      </c>
      <c r="K139" s="217">
        <v>0</v>
      </c>
      <c r="L139" s="252">
        <v>0</v>
      </c>
      <c r="M139" s="168">
        <f t="shared" si="71"/>
        <v>0</v>
      </c>
      <c r="N139" s="170">
        <f t="shared" si="72"/>
        <v>0</v>
      </c>
      <c r="O139" s="216">
        <v>0</v>
      </c>
      <c r="P139" s="217">
        <v>0</v>
      </c>
      <c r="Q139" s="217">
        <v>0</v>
      </c>
      <c r="R139" s="217">
        <v>0</v>
      </c>
      <c r="S139" s="217">
        <v>0</v>
      </c>
      <c r="T139" s="217">
        <v>0</v>
      </c>
      <c r="U139" s="217">
        <v>0</v>
      </c>
      <c r="V139" s="217">
        <v>0</v>
      </c>
      <c r="W139" s="217">
        <v>0</v>
      </c>
      <c r="X139" s="217">
        <v>0</v>
      </c>
      <c r="Y139" s="252">
        <v>0</v>
      </c>
      <c r="Z139" s="168">
        <f t="shared" si="73"/>
        <v>0</v>
      </c>
      <c r="AA139" s="170">
        <f t="shared" si="74"/>
        <v>0</v>
      </c>
      <c r="AB139" s="795">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796">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069">
        <f t="shared" si="75"/>
        <v>0</v>
      </c>
      <c r="AE139" s="1073">
        <f t="shared" si="68"/>
        <v>0</v>
      </c>
      <c r="AF139" s="1074">
        <f t="shared" si="69"/>
        <v>0</v>
      </c>
      <c r="AG139" s="1074">
        <f t="shared" si="70"/>
        <v>0</v>
      </c>
      <c r="AH139" s="1015">
        <f t="shared" si="76"/>
        <v>0</v>
      </c>
      <c r="AI139" s="1075">
        <f t="shared" si="77"/>
        <v>0</v>
      </c>
      <c r="AJ139" s="99"/>
      <c r="AK139" s="99"/>
      <c r="AL139" s="99"/>
      <c r="AM139" s="99"/>
    </row>
    <row r="140" spans="1:39" x14ac:dyDescent="0.2">
      <c r="A140" s="202">
        <v>2019</v>
      </c>
      <c r="B140" s="216">
        <v>0</v>
      </c>
      <c r="C140" s="217">
        <v>0</v>
      </c>
      <c r="D140" s="217">
        <v>0</v>
      </c>
      <c r="E140" s="217">
        <v>0</v>
      </c>
      <c r="F140" s="217">
        <v>0</v>
      </c>
      <c r="G140" s="217">
        <v>0</v>
      </c>
      <c r="H140" s="217">
        <v>0</v>
      </c>
      <c r="I140" s="217">
        <v>0</v>
      </c>
      <c r="J140" s="217">
        <v>0</v>
      </c>
      <c r="K140" s="217">
        <v>0</v>
      </c>
      <c r="L140" s="252">
        <v>0</v>
      </c>
      <c r="M140" s="168">
        <f t="shared" si="71"/>
        <v>0</v>
      </c>
      <c r="N140" s="170">
        <f t="shared" si="72"/>
        <v>0</v>
      </c>
      <c r="O140" s="216">
        <v>0</v>
      </c>
      <c r="P140" s="217">
        <v>0</v>
      </c>
      <c r="Q140" s="217">
        <v>0</v>
      </c>
      <c r="R140" s="217">
        <v>0</v>
      </c>
      <c r="S140" s="217">
        <v>0</v>
      </c>
      <c r="T140" s="217">
        <v>0</v>
      </c>
      <c r="U140" s="217">
        <v>0</v>
      </c>
      <c r="V140" s="217">
        <v>0</v>
      </c>
      <c r="W140" s="217">
        <v>0</v>
      </c>
      <c r="X140" s="217">
        <v>0</v>
      </c>
      <c r="Y140" s="252">
        <v>0</v>
      </c>
      <c r="Z140" s="168">
        <f t="shared" si="73"/>
        <v>0</v>
      </c>
      <c r="AA140" s="170">
        <f t="shared" si="74"/>
        <v>0</v>
      </c>
      <c r="AB140" s="795">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796">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069">
        <f t="shared" si="75"/>
        <v>0</v>
      </c>
      <c r="AE140" s="1073">
        <f t="shared" si="68"/>
        <v>0</v>
      </c>
      <c r="AF140" s="1074">
        <f t="shared" si="69"/>
        <v>0</v>
      </c>
      <c r="AG140" s="1074">
        <f t="shared" si="70"/>
        <v>0</v>
      </c>
      <c r="AH140" s="1015">
        <f t="shared" si="76"/>
        <v>0</v>
      </c>
      <c r="AI140" s="1075">
        <f t="shared" si="77"/>
        <v>0</v>
      </c>
      <c r="AJ140" s="99"/>
      <c r="AK140" s="99"/>
      <c r="AL140" s="99"/>
      <c r="AM140" s="99"/>
    </row>
    <row r="141" spans="1:39" ht="13.5" thickBot="1" x14ac:dyDescent="0.25">
      <c r="A141" s="200">
        <v>2020</v>
      </c>
      <c r="B141" s="218">
        <v>0</v>
      </c>
      <c r="C141" s="219">
        <v>0</v>
      </c>
      <c r="D141" s="219">
        <v>0</v>
      </c>
      <c r="E141" s="219">
        <v>0</v>
      </c>
      <c r="F141" s="219">
        <v>0</v>
      </c>
      <c r="G141" s="219">
        <v>0</v>
      </c>
      <c r="H141" s="219">
        <v>0</v>
      </c>
      <c r="I141" s="219">
        <v>0</v>
      </c>
      <c r="J141" s="219">
        <v>0</v>
      </c>
      <c r="K141" s="219">
        <v>0</v>
      </c>
      <c r="L141" s="253">
        <v>0</v>
      </c>
      <c r="M141" s="182">
        <f t="shared" si="71"/>
        <v>0</v>
      </c>
      <c r="N141" s="184">
        <f t="shared" si="72"/>
        <v>0</v>
      </c>
      <c r="O141" s="218">
        <v>0</v>
      </c>
      <c r="P141" s="219">
        <v>0</v>
      </c>
      <c r="Q141" s="219">
        <v>0</v>
      </c>
      <c r="R141" s="219">
        <v>0</v>
      </c>
      <c r="S141" s="219">
        <v>0</v>
      </c>
      <c r="T141" s="219">
        <v>0</v>
      </c>
      <c r="U141" s="219">
        <v>0</v>
      </c>
      <c r="V141" s="219">
        <v>0</v>
      </c>
      <c r="W141" s="219">
        <v>0</v>
      </c>
      <c r="X141" s="219">
        <v>0</v>
      </c>
      <c r="Y141" s="253">
        <v>0</v>
      </c>
      <c r="Z141" s="182">
        <f t="shared" si="73"/>
        <v>0</v>
      </c>
      <c r="AA141" s="184">
        <f t="shared" si="74"/>
        <v>0</v>
      </c>
      <c r="AB141" s="795">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796">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069">
        <f t="shared" si="75"/>
        <v>0</v>
      </c>
      <c r="AE141" s="1073">
        <f t="shared" si="68"/>
        <v>0</v>
      </c>
      <c r="AF141" s="1074">
        <f t="shared" si="69"/>
        <v>0</v>
      </c>
      <c r="AG141" s="1074">
        <f t="shared" si="70"/>
        <v>0</v>
      </c>
      <c r="AH141" s="1015">
        <f t="shared" si="76"/>
        <v>0</v>
      </c>
      <c r="AI141" s="1075">
        <f t="shared" si="77"/>
        <v>0</v>
      </c>
      <c r="AJ141" s="99"/>
      <c r="AK141" s="99"/>
      <c r="AL141" s="99"/>
      <c r="AM141" s="99"/>
    </row>
    <row r="142" spans="1:39" x14ac:dyDescent="0.2">
      <c r="A142" s="201">
        <v>2021</v>
      </c>
      <c r="B142" s="214">
        <v>0</v>
      </c>
      <c r="C142" s="215">
        <v>0</v>
      </c>
      <c r="D142" s="215">
        <v>0</v>
      </c>
      <c r="E142" s="215">
        <v>0</v>
      </c>
      <c r="F142" s="215">
        <v>0</v>
      </c>
      <c r="G142" s="215">
        <v>0</v>
      </c>
      <c r="H142" s="215">
        <v>0</v>
      </c>
      <c r="I142" s="215">
        <v>0</v>
      </c>
      <c r="J142" s="215">
        <v>0</v>
      </c>
      <c r="K142" s="215">
        <v>0</v>
      </c>
      <c r="L142" s="251">
        <v>0</v>
      </c>
      <c r="M142" s="154">
        <f t="shared" si="71"/>
        <v>0</v>
      </c>
      <c r="N142" s="156">
        <f t="shared" si="72"/>
        <v>0</v>
      </c>
      <c r="O142" s="214">
        <v>0</v>
      </c>
      <c r="P142" s="215">
        <v>0</v>
      </c>
      <c r="Q142" s="215">
        <v>0</v>
      </c>
      <c r="R142" s="215">
        <v>0</v>
      </c>
      <c r="S142" s="215">
        <v>0</v>
      </c>
      <c r="T142" s="215">
        <v>0</v>
      </c>
      <c r="U142" s="215">
        <v>0</v>
      </c>
      <c r="V142" s="215">
        <v>0</v>
      </c>
      <c r="W142" s="215">
        <v>0</v>
      </c>
      <c r="X142" s="215">
        <v>0</v>
      </c>
      <c r="Y142" s="251">
        <v>0</v>
      </c>
      <c r="Z142" s="154">
        <f t="shared" si="73"/>
        <v>0</v>
      </c>
      <c r="AA142" s="156">
        <f t="shared" si="74"/>
        <v>0</v>
      </c>
      <c r="AB142" s="795">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796">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069">
        <f t="shared" si="75"/>
        <v>0</v>
      </c>
      <c r="AE142" s="1073">
        <f t="shared" si="68"/>
        <v>0</v>
      </c>
      <c r="AF142" s="1074">
        <f t="shared" si="69"/>
        <v>0</v>
      </c>
      <c r="AG142" s="1074">
        <f t="shared" si="70"/>
        <v>0</v>
      </c>
      <c r="AH142" s="1015">
        <f t="shared" si="76"/>
        <v>0</v>
      </c>
      <c r="AI142" s="1075">
        <f t="shared" si="77"/>
        <v>0</v>
      </c>
      <c r="AJ142" s="99"/>
      <c r="AK142" s="99"/>
      <c r="AL142" s="99"/>
      <c r="AM142" s="99"/>
    </row>
    <row r="143" spans="1:39" x14ac:dyDescent="0.2">
      <c r="A143" s="202">
        <v>2022</v>
      </c>
      <c r="B143" s="216">
        <v>0</v>
      </c>
      <c r="C143" s="217">
        <v>0</v>
      </c>
      <c r="D143" s="217">
        <v>0</v>
      </c>
      <c r="E143" s="217">
        <v>0</v>
      </c>
      <c r="F143" s="217">
        <v>0</v>
      </c>
      <c r="G143" s="217">
        <v>0</v>
      </c>
      <c r="H143" s="217">
        <v>0</v>
      </c>
      <c r="I143" s="217">
        <v>0</v>
      </c>
      <c r="J143" s="217">
        <v>0</v>
      </c>
      <c r="K143" s="217">
        <v>0</v>
      </c>
      <c r="L143" s="252">
        <v>0</v>
      </c>
      <c r="M143" s="168">
        <f t="shared" si="71"/>
        <v>0</v>
      </c>
      <c r="N143" s="170">
        <f t="shared" si="72"/>
        <v>0</v>
      </c>
      <c r="O143" s="216">
        <v>0</v>
      </c>
      <c r="P143" s="217">
        <v>0</v>
      </c>
      <c r="Q143" s="217">
        <v>0</v>
      </c>
      <c r="R143" s="217">
        <v>0</v>
      </c>
      <c r="S143" s="217">
        <v>0</v>
      </c>
      <c r="T143" s="217">
        <v>0</v>
      </c>
      <c r="U143" s="217">
        <v>0</v>
      </c>
      <c r="V143" s="217">
        <v>0</v>
      </c>
      <c r="W143" s="217">
        <v>0</v>
      </c>
      <c r="X143" s="217">
        <v>0</v>
      </c>
      <c r="Y143" s="252">
        <v>0</v>
      </c>
      <c r="Z143" s="168">
        <f t="shared" si="73"/>
        <v>0</v>
      </c>
      <c r="AA143" s="170">
        <f t="shared" si="74"/>
        <v>0</v>
      </c>
      <c r="AB143" s="795">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796">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069">
        <f t="shared" si="75"/>
        <v>0</v>
      </c>
      <c r="AE143" s="1073">
        <f>SUMPRODUCT($B$74:$L$74,B143:L143)</f>
        <v>0</v>
      </c>
      <c r="AF143" s="1074">
        <f>SUMPRODUCT($O$74:$Y$74,O143:Y143)</f>
        <v>0</v>
      </c>
      <c r="AG143" s="1074">
        <f>SUM(AE143:AF143)</f>
        <v>0</v>
      </c>
      <c r="AH143" s="1015">
        <f t="shared" si="76"/>
        <v>0</v>
      </c>
      <c r="AI143" s="1075">
        <f t="shared" si="77"/>
        <v>0</v>
      </c>
      <c r="AJ143" s="99"/>
      <c r="AK143" s="99"/>
      <c r="AL143" s="99"/>
      <c r="AM143" s="99"/>
    </row>
    <row r="144" spans="1:39" x14ac:dyDescent="0.2">
      <c r="A144" s="202">
        <v>2023</v>
      </c>
      <c r="B144" s="216">
        <v>0</v>
      </c>
      <c r="C144" s="217">
        <v>0</v>
      </c>
      <c r="D144" s="217">
        <v>0</v>
      </c>
      <c r="E144" s="217">
        <v>0</v>
      </c>
      <c r="F144" s="217">
        <v>0</v>
      </c>
      <c r="G144" s="217">
        <v>0</v>
      </c>
      <c r="H144" s="217">
        <v>0</v>
      </c>
      <c r="I144" s="217">
        <v>0</v>
      </c>
      <c r="J144" s="217">
        <v>0</v>
      </c>
      <c r="K144" s="217">
        <v>0</v>
      </c>
      <c r="L144" s="252">
        <v>0</v>
      </c>
      <c r="M144" s="168">
        <f t="shared" si="71"/>
        <v>0</v>
      </c>
      <c r="N144" s="170">
        <f t="shared" si="72"/>
        <v>0</v>
      </c>
      <c r="O144" s="216">
        <v>0</v>
      </c>
      <c r="P144" s="217">
        <v>0</v>
      </c>
      <c r="Q144" s="217">
        <v>0</v>
      </c>
      <c r="R144" s="217">
        <v>0</v>
      </c>
      <c r="S144" s="217">
        <v>0</v>
      </c>
      <c r="T144" s="217">
        <v>0</v>
      </c>
      <c r="U144" s="217">
        <v>0</v>
      </c>
      <c r="V144" s="217">
        <v>0</v>
      </c>
      <c r="W144" s="217">
        <v>0</v>
      </c>
      <c r="X144" s="217">
        <v>0</v>
      </c>
      <c r="Y144" s="252">
        <v>0</v>
      </c>
      <c r="Z144" s="168">
        <f t="shared" si="73"/>
        <v>0</v>
      </c>
      <c r="AA144" s="170">
        <f t="shared" si="74"/>
        <v>0</v>
      </c>
      <c r="AB144" s="795">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796">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069">
        <f t="shared" si="75"/>
        <v>0</v>
      </c>
      <c r="AE144" s="1073">
        <f t="shared" ref="AE144:AE171" si="78">SUMPRODUCT($B$74:$L$74,B144:L144)</f>
        <v>0</v>
      </c>
      <c r="AF144" s="1074">
        <f t="shared" ref="AF144:AF171" si="79">SUMPRODUCT($O$74:$Y$74,O144:Y144)</f>
        <v>0</v>
      </c>
      <c r="AG144" s="1074">
        <f t="shared" ref="AG144:AG171" si="80">SUM(AE144:AF144)</f>
        <v>0</v>
      </c>
      <c r="AH144" s="1015">
        <f t="shared" si="76"/>
        <v>0</v>
      </c>
      <c r="AI144" s="1075">
        <f t="shared" si="77"/>
        <v>0</v>
      </c>
      <c r="AJ144" s="99"/>
      <c r="AK144" s="99"/>
      <c r="AL144" s="99"/>
      <c r="AM144" s="99"/>
    </row>
    <row r="145" spans="1:39" x14ac:dyDescent="0.2">
      <c r="A145" s="202">
        <v>2024</v>
      </c>
      <c r="B145" s="216">
        <v>0</v>
      </c>
      <c r="C145" s="217">
        <v>0</v>
      </c>
      <c r="D145" s="217">
        <v>0</v>
      </c>
      <c r="E145" s="217">
        <v>0</v>
      </c>
      <c r="F145" s="217">
        <v>0</v>
      </c>
      <c r="G145" s="217">
        <v>0</v>
      </c>
      <c r="H145" s="217">
        <v>0</v>
      </c>
      <c r="I145" s="217">
        <v>0</v>
      </c>
      <c r="J145" s="217">
        <v>0</v>
      </c>
      <c r="K145" s="217">
        <v>0</v>
      </c>
      <c r="L145" s="252">
        <v>0</v>
      </c>
      <c r="M145" s="168">
        <f t="shared" si="71"/>
        <v>0</v>
      </c>
      <c r="N145" s="170">
        <f t="shared" si="72"/>
        <v>0</v>
      </c>
      <c r="O145" s="216">
        <v>0</v>
      </c>
      <c r="P145" s="217">
        <v>0</v>
      </c>
      <c r="Q145" s="217">
        <v>0</v>
      </c>
      <c r="R145" s="217">
        <v>0</v>
      </c>
      <c r="S145" s="217">
        <v>0</v>
      </c>
      <c r="T145" s="217">
        <v>0</v>
      </c>
      <c r="U145" s="217">
        <v>0</v>
      </c>
      <c r="V145" s="217">
        <v>0</v>
      </c>
      <c r="W145" s="217">
        <v>0</v>
      </c>
      <c r="X145" s="217">
        <v>0</v>
      </c>
      <c r="Y145" s="252">
        <v>0</v>
      </c>
      <c r="Z145" s="168">
        <f t="shared" si="73"/>
        <v>0</v>
      </c>
      <c r="AA145" s="170">
        <f t="shared" si="74"/>
        <v>0</v>
      </c>
      <c r="AB145" s="795">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796">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069">
        <f t="shared" si="75"/>
        <v>0</v>
      </c>
      <c r="AE145" s="1073">
        <f t="shared" si="78"/>
        <v>0</v>
      </c>
      <c r="AF145" s="1074">
        <f t="shared" si="79"/>
        <v>0</v>
      </c>
      <c r="AG145" s="1074">
        <f t="shared" si="80"/>
        <v>0</v>
      </c>
      <c r="AH145" s="1015">
        <f t="shared" si="76"/>
        <v>0</v>
      </c>
      <c r="AI145" s="1075">
        <f t="shared" si="77"/>
        <v>0</v>
      </c>
      <c r="AJ145" s="99"/>
      <c r="AK145" s="99"/>
      <c r="AL145" s="99"/>
      <c r="AM145" s="99"/>
    </row>
    <row r="146" spans="1:39" ht="13.5" thickBot="1" x14ac:dyDescent="0.25">
      <c r="A146" s="200">
        <v>2025</v>
      </c>
      <c r="B146" s="218">
        <v>0</v>
      </c>
      <c r="C146" s="219">
        <v>0</v>
      </c>
      <c r="D146" s="219">
        <v>0</v>
      </c>
      <c r="E146" s="219">
        <v>0</v>
      </c>
      <c r="F146" s="219">
        <v>0</v>
      </c>
      <c r="G146" s="219">
        <v>0</v>
      </c>
      <c r="H146" s="219">
        <v>0</v>
      </c>
      <c r="I146" s="219">
        <v>0</v>
      </c>
      <c r="J146" s="219">
        <v>0</v>
      </c>
      <c r="K146" s="219">
        <v>0</v>
      </c>
      <c r="L146" s="253">
        <v>0</v>
      </c>
      <c r="M146" s="182">
        <f t="shared" si="71"/>
        <v>0</v>
      </c>
      <c r="N146" s="184">
        <f t="shared" si="72"/>
        <v>0</v>
      </c>
      <c r="O146" s="218">
        <v>0</v>
      </c>
      <c r="P146" s="219">
        <v>0</v>
      </c>
      <c r="Q146" s="219">
        <v>0</v>
      </c>
      <c r="R146" s="219">
        <v>0</v>
      </c>
      <c r="S146" s="219">
        <v>0</v>
      </c>
      <c r="T146" s="219">
        <v>0</v>
      </c>
      <c r="U146" s="219">
        <v>0</v>
      </c>
      <c r="V146" s="219">
        <v>0</v>
      </c>
      <c r="W146" s="219">
        <v>0</v>
      </c>
      <c r="X146" s="219">
        <v>0</v>
      </c>
      <c r="Y146" s="253">
        <v>0</v>
      </c>
      <c r="Z146" s="182">
        <f t="shared" si="73"/>
        <v>0</v>
      </c>
      <c r="AA146" s="184">
        <f t="shared" si="74"/>
        <v>0</v>
      </c>
      <c r="AB146" s="795">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796">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069">
        <f t="shared" si="75"/>
        <v>0</v>
      </c>
      <c r="AE146" s="1073">
        <f t="shared" si="78"/>
        <v>0</v>
      </c>
      <c r="AF146" s="1074">
        <f t="shared" si="79"/>
        <v>0</v>
      </c>
      <c r="AG146" s="1074">
        <f t="shared" si="80"/>
        <v>0</v>
      </c>
      <c r="AH146" s="1015">
        <f t="shared" si="76"/>
        <v>0</v>
      </c>
      <c r="AI146" s="1075">
        <f t="shared" si="77"/>
        <v>0</v>
      </c>
      <c r="AJ146" s="99"/>
      <c r="AK146" s="99"/>
      <c r="AL146" s="99"/>
      <c r="AM146" s="99"/>
    </row>
    <row r="147" spans="1:39" x14ac:dyDescent="0.2">
      <c r="A147" s="201">
        <v>2026</v>
      </c>
      <c r="B147" s="214">
        <v>9.7199621666543292E-5</v>
      </c>
      <c r="C147" s="215">
        <v>1.667107204313853E-2</v>
      </c>
      <c r="D147" s="215">
        <v>2.2574643104279691E-2</v>
      </c>
      <c r="E147" s="215">
        <v>2.3542579443572041E-2</v>
      </c>
      <c r="F147" s="215">
        <v>2.3688642121771977E-2</v>
      </c>
      <c r="G147" s="215">
        <v>2.3551155370382118E-2</v>
      </c>
      <c r="H147" s="215">
        <v>2.353714924307625E-2</v>
      </c>
      <c r="I147" s="215">
        <v>2.342648777469317E-2</v>
      </c>
      <c r="J147" s="215">
        <v>2.3520832869571899E-2</v>
      </c>
      <c r="K147" s="215">
        <v>2.3554703267315326E-2</v>
      </c>
      <c r="L147" s="251">
        <v>2.3554703267315326E-2</v>
      </c>
      <c r="M147" s="154">
        <f t="shared" si="71"/>
        <v>6.5392584215631447E-3</v>
      </c>
      <c r="N147" s="156">
        <f t="shared" si="72"/>
        <v>4.1753729154389739E-3</v>
      </c>
      <c r="O147" s="214">
        <v>6.9113292066788113E-5</v>
      </c>
      <c r="P147" s="215">
        <v>1.725846208083533E-2</v>
      </c>
      <c r="Q147" s="215">
        <v>2.3180904770381372E-2</v>
      </c>
      <c r="R147" s="215">
        <v>2.3829532459286967E-2</v>
      </c>
      <c r="S147" s="215">
        <v>2.3818001253326969E-2</v>
      </c>
      <c r="T147" s="215">
        <v>2.3609301285935823E-2</v>
      </c>
      <c r="U147" s="215">
        <v>2.3426602499819271E-2</v>
      </c>
      <c r="V147" s="215">
        <v>2.3521387826030415E-2</v>
      </c>
      <c r="W147" s="215">
        <v>2.3557390774238973E-2</v>
      </c>
      <c r="X147" s="215">
        <v>2.355395545959019E-2</v>
      </c>
      <c r="Y147" s="251">
        <v>2.354044922964146E-2</v>
      </c>
      <c r="Z147" s="154">
        <f t="shared" si="73"/>
        <v>9.7395743946432477E-3</v>
      </c>
      <c r="AA147" s="156">
        <f t="shared" si="74"/>
        <v>6.4478125562932899E-3</v>
      </c>
      <c r="AB147" s="795">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796">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069">
        <f t="shared" si="75"/>
        <v>0</v>
      </c>
      <c r="AE147" s="1073">
        <f t="shared" si="78"/>
        <v>6.5392584215631447E-3</v>
      </c>
      <c r="AF147" s="1074">
        <f t="shared" si="79"/>
        <v>9.7395743946432477E-3</v>
      </c>
      <c r="AG147" s="1074">
        <f t="shared" si="80"/>
        <v>1.6278832816206394E-2</v>
      </c>
      <c r="AH147" s="1015">
        <f t="shared" si="76"/>
        <v>0.40170315005956603</v>
      </c>
      <c r="AI147" s="1075">
        <f t="shared" si="77"/>
        <v>0.59829684994043386</v>
      </c>
      <c r="AJ147" s="99"/>
      <c r="AK147" s="99"/>
      <c r="AL147" s="99"/>
      <c r="AM147" s="99"/>
    </row>
    <row r="148" spans="1:39" x14ac:dyDescent="0.2">
      <c r="A148" s="202">
        <v>2027</v>
      </c>
      <c r="B148" s="216">
        <v>2.8917170381214183E-4</v>
      </c>
      <c r="C148" s="217">
        <v>5.3665498161198026E-2</v>
      </c>
      <c r="D148" s="217">
        <v>9.5802119330649166E-2</v>
      </c>
      <c r="E148" s="217">
        <v>0.1105456059356551</v>
      </c>
      <c r="F148" s="217">
        <v>0.11103302870402382</v>
      </c>
      <c r="G148" s="217">
        <v>0.10550907772860464</v>
      </c>
      <c r="H148" s="217">
        <v>8.9336601477683908E-2</v>
      </c>
      <c r="I148" s="217">
        <v>8.4105381636068038E-2</v>
      </c>
      <c r="J148" s="217">
        <v>7.7241709457861157E-2</v>
      </c>
      <c r="K148" s="217">
        <v>7.0916647138641459E-2</v>
      </c>
      <c r="L148" s="252">
        <v>7.0916647138641459E-2</v>
      </c>
      <c r="M148" s="168">
        <f t="shared" si="71"/>
        <v>2.5612691476523963E-2</v>
      </c>
      <c r="N148" s="170">
        <f t="shared" si="72"/>
        <v>1.5491352910819449E-2</v>
      </c>
      <c r="O148" s="216">
        <v>2.0645427271304628E-4</v>
      </c>
      <c r="P148" s="217">
        <v>5.7333411235736334E-2</v>
      </c>
      <c r="Q148" s="217">
        <v>9.9287065369577904E-2</v>
      </c>
      <c r="R148" s="217">
        <v>0.11219655623501712</v>
      </c>
      <c r="S148" s="217">
        <v>0.1100094383021851</v>
      </c>
      <c r="T148" s="217">
        <v>0.10156973761425249</v>
      </c>
      <c r="U148" s="217">
        <v>8.933585375788039E-2</v>
      </c>
      <c r="V148" s="217">
        <v>8.0628378978840384E-2</v>
      </c>
      <c r="W148" s="217">
        <v>7.3974846609174791E-2</v>
      </c>
      <c r="X148" s="217">
        <v>7.0903251545921156E-2</v>
      </c>
      <c r="Y148" s="252">
        <v>6.6718062666204642E-2</v>
      </c>
      <c r="Z148" s="168">
        <f t="shared" si="73"/>
        <v>3.7205916456083107E-2</v>
      </c>
      <c r="AA148" s="170">
        <f t="shared" si="74"/>
        <v>2.3476665624520752E-2</v>
      </c>
      <c r="AB148" s="795">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796">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069">
        <f t="shared" si="75"/>
        <v>0</v>
      </c>
      <c r="AE148" s="1073">
        <f t="shared" si="78"/>
        <v>2.5612691476523963E-2</v>
      </c>
      <c r="AF148" s="1074">
        <f t="shared" si="79"/>
        <v>3.7205916456083107E-2</v>
      </c>
      <c r="AG148" s="1074">
        <f t="shared" si="80"/>
        <v>6.2818607932607073E-2</v>
      </c>
      <c r="AH148" s="1015">
        <f t="shared" si="76"/>
        <v>0.4077245949799097</v>
      </c>
      <c r="AI148" s="1075">
        <f t="shared" si="77"/>
        <v>0.59227540502009024</v>
      </c>
      <c r="AJ148" s="99"/>
      <c r="AK148" s="99"/>
      <c r="AL148" s="99"/>
      <c r="AM148" s="99"/>
    </row>
    <row r="149" spans="1:39" x14ac:dyDescent="0.2">
      <c r="A149" s="202">
        <v>2028</v>
      </c>
      <c r="B149" s="216">
        <v>1.2486153185486551E-3</v>
      </c>
      <c r="C149" s="217">
        <v>0.12056459696234931</v>
      </c>
      <c r="D149" s="217">
        <v>0.15536237357758126</v>
      </c>
      <c r="E149" s="217">
        <v>0.14844355757114591</v>
      </c>
      <c r="F149" s="217">
        <v>0.14341754292548972</v>
      </c>
      <c r="G149" s="217">
        <v>0.14062087382409943</v>
      </c>
      <c r="H149" s="217">
        <v>0.13474336024945352</v>
      </c>
      <c r="I149" s="217">
        <v>0.13364113834830735</v>
      </c>
      <c r="J149" s="217">
        <v>0.13272145820483566</v>
      </c>
      <c r="K149" s="217">
        <v>0.13294634417125389</v>
      </c>
      <c r="L149" s="252">
        <v>0.13294634417125389</v>
      </c>
      <c r="M149" s="168">
        <f t="shared" si="71"/>
        <v>4.4375186073256953E-2</v>
      </c>
      <c r="N149" s="170">
        <f t="shared" si="72"/>
        <v>2.9191140345442484E-2</v>
      </c>
      <c r="O149" s="216">
        <v>9.0622452748245731E-4</v>
      </c>
      <c r="P149" s="217">
        <v>0.12668527929059561</v>
      </c>
      <c r="Q149" s="217">
        <v>0.15488651959232952</v>
      </c>
      <c r="R149" s="217">
        <v>0.14549020570450816</v>
      </c>
      <c r="S149" s="217">
        <v>0.14108659815302416</v>
      </c>
      <c r="T149" s="217">
        <v>0.13866822954692623</v>
      </c>
      <c r="U149" s="217">
        <v>0.13473886166452273</v>
      </c>
      <c r="V149" s="217">
        <v>0.13358036867312531</v>
      </c>
      <c r="W149" s="217">
        <v>0.13254088343678402</v>
      </c>
      <c r="X149" s="217">
        <v>0.13289331093419815</v>
      </c>
      <c r="Y149" s="252">
        <v>0.1326127049736453</v>
      </c>
      <c r="Z149" s="168">
        <f t="shared" si="73"/>
        <v>6.5837733423908529E-2</v>
      </c>
      <c r="AA149" s="170">
        <f t="shared" si="74"/>
        <v>4.5463263860730636E-2</v>
      </c>
      <c r="AB149" s="795">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796">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069">
        <f t="shared" si="75"/>
        <v>0</v>
      </c>
      <c r="AE149" s="1073">
        <f t="shared" si="78"/>
        <v>4.4375186073256953E-2</v>
      </c>
      <c r="AF149" s="1074">
        <f t="shared" si="79"/>
        <v>6.5837733423908529E-2</v>
      </c>
      <c r="AG149" s="1074">
        <f t="shared" si="80"/>
        <v>0.11021291949716548</v>
      </c>
      <c r="AH149" s="1015">
        <f t="shared" si="76"/>
        <v>0.40263143627547421</v>
      </c>
      <c r="AI149" s="1075">
        <f t="shared" si="77"/>
        <v>0.59736856372452574</v>
      </c>
      <c r="AJ149" s="99"/>
      <c r="AK149" s="99"/>
      <c r="AL149" s="99"/>
      <c r="AM149" s="99"/>
    </row>
    <row r="150" spans="1:39" x14ac:dyDescent="0.2">
      <c r="A150" s="202">
        <v>2029</v>
      </c>
      <c r="B150" s="216">
        <v>1.0258058820038971E-3</v>
      </c>
      <c r="C150" s="217">
        <v>0.2250749077056429</v>
      </c>
      <c r="D150" s="217">
        <v>0.40179731680831354</v>
      </c>
      <c r="E150" s="217">
        <v>0.45683944004662541</v>
      </c>
      <c r="F150" s="217">
        <v>0.44096984550342466</v>
      </c>
      <c r="G150" s="217">
        <v>0.41017648024218978</v>
      </c>
      <c r="H150" s="217">
        <v>0.34543945857053454</v>
      </c>
      <c r="I150" s="217">
        <v>0.32389335988853596</v>
      </c>
      <c r="J150" s="217">
        <v>0.30338660048875138</v>
      </c>
      <c r="K150" s="217">
        <v>0.27915479478288652</v>
      </c>
      <c r="L150" s="252">
        <v>0.27915479478288652</v>
      </c>
      <c r="M150" s="168">
        <f t="shared" si="71"/>
        <v>0.10606290923967782</v>
      </c>
      <c r="N150" s="170">
        <f t="shared" si="72"/>
        <v>6.455861910366735E-2</v>
      </c>
      <c r="O150" s="216">
        <v>7.2939400700535481E-4</v>
      </c>
      <c r="P150" s="217">
        <v>0.24045825874142879</v>
      </c>
      <c r="Q150" s="217">
        <v>0.41641329793113785</v>
      </c>
      <c r="R150" s="217">
        <v>0.45998389357096181</v>
      </c>
      <c r="S150" s="217">
        <v>0.4328925144912934</v>
      </c>
      <c r="T150" s="217">
        <v>0.38745087947505685</v>
      </c>
      <c r="U150" s="217">
        <v>0.34541467258196812</v>
      </c>
      <c r="V150" s="217">
        <v>0.31012229591312407</v>
      </c>
      <c r="W150" s="217">
        <v>0.29072217037309356</v>
      </c>
      <c r="X150" s="217">
        <v>0.28427277107795762</v>
      </c>
      <c r="Y150" s="252">
        <v>0.2677273789764712</v>
      </c>
      <c r="Z150" s="168">
        <f t="shared" si="73"/>
        <v>0.15326916180180858</v>
      </c>
      <c r="AA150" s="170">
        <f t="shared" si="74"/>
        <v>9.7695692405616777E-2</v>
      </c>
      <c r="AB150" s="795">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796">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069">
        <f t="shared" si="75"/>
        <v>0</v>
      </c>
      <c r="AE150" s="1073">
        <f t="shared" si="78"/>
        <v>0.10606290923967782</v>
      </c>
      <c r="AF150" s="1074">
        <f t="shared" si="79"/>
        <v>0.15326916180180858</v>
      </c>
      <c r="AG150" s="1074">
        <f t="shared" si="80"/>
        <v>0.25933207104148637</v>
      </c>
      <c r="AH150" s="1015">
        <f t="shared" si="76"/>
        <v>0.40898493122630603</v>
      </c>
      <c r="AI150" s="1075">
        <f t="shared" si="77"/>
        <v>0.59101506877369403</v>
      </c>
      <c r="AJ150" s="99"/>
      <c r="AK150" s="99"/>
      <c r="AL150" s="99"/>
      <c r="AM150" s="99"/>
    </row>
    <row r="151" spans="1:39" ht="13.5" thickBot="1" x14ac:dyDescent="0.25">
      <c r="A151" s="200">
        <v>2030</v>
      </c>
      <c r="B151" s="218">
        <v>1.2659824484378282E-3</v>
      </c>
      <c r="C151" s="219">
        <v>0.32907809495025292</v>
      </c>
      <c r="D151" s="219">
        <v>0.58746084545473332</v>
      </c>
      <c r="E151" s="219">
        <v>0.68078421671067646</v>
      </c>
      <c r="F151" s="219">
        <v>0.70500551162384906</v>
      </c>
      <c r="G151" s="219">
        <v>0.70882295548240182</v>
      </c>
      <c r="H151" s="219">
        <v>0.66697046900674095</v>
      </c>
      <c r="I151" s="219">
        <v>0.63166242959015451</v>
      </c>
      <c r="J151" s="219">
        <v>0.58495977285725775</v>
      </c>
      <c r="K151" s="219">
        <v>0.51867645565484044</v>
      </c>
      <c r="L151" s="253">
        <v>0.51867645565484044</v>
      </c>
      <c r="M151" s="182">
        <f t="shared" si="71"/>
        <v>0.15976416697662327</v>
      </c>
      <c r="N151" s="184">
        <f t="shared" si="72"/>
        <v>9.5525543544918864E-2</v>
      </c>
      <c r="O151" s="218">
        <v>8.9651775337105423E-4</v>
      </c>
      <c r="P151" s="219">
        <v>0.35156982405684883</v>
      </c>
      <c r="Q151" s="219">
        <v>0.60883061640236025</v>
      </c>
      <c r="R151" s="219">
        <v>0.69429255804204315</v>
      </c>
      <c r="S151" s="219">
        <v>0.71296832902218132</v>
      </c>
      <c r="T151" s="219">
        <v>0.70719218519409688</v>
      </c>
      <c r="U151" s="219">
        <v>0.66668068847532425</v>
      </c>
      <c r="V151" s="219">
        <v>0.60483336441800617</v>
      </c>
      <c r="W151" s="219">
        <v>0.55177873423697676</v>
      </c>
      <c r="X151" s="219">
        <v>0.51867645565484044</v>
      </c>
      <c r="Y151" s="253">
        <v>0.4623749378954603</v>
      </c>
      <c r="Z151" s="182">
        <f t="shared" si="73"/>
        <v>0.23510305735748283</v>
      </c>
      <c r="AA151" s="184">
        <f t="shared" si="74"/>
        <v>0.14540113289119147</v>
      </c>
      <c r="AB151" s="795">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796">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069">
        <f t="shared" si="75"/>
        <v>0</v>
      </c>
      <c r="AE151" s="1073">
        <f t="shared" si="78"/>
        <v>0.15976416697662327</v>
      </c>
      <c r="AF151" s="1074">
        <f t="shared" si="79"/>
        <v>0.23510305735748283</v>
      </c>
      <c r="AG151" s="1074">
        <f t="shared" si="80"/>
        <v>0.39486722433410609</v>
      </c>
      <c r="AH151" s="1015">
        <f t="shared" si="76"/>
        <v>0.40460224888516749</v>
      </c>
      <c r="AI151" s="1075">
        <f t="shared" si="77"/>
        <v>0.59539775111483251</v>
      </c>
      <c r="AJ151" s="99"/>
      <c r="AK151" s="99"/>
      <c r="AL151" s="99"/>
      <c r="AM151" s="99"/>
    </row>
    <row r="152" spans="1:39" x14ac:dyDescent="0.2">
      <c r="A152" s="201">
        <v>2031</v>
      </c>
      <c r="B152" s="214">
        <v>1.2847972294159613E-3</v>
      </c>
      <c r="C152" s="215">
        <v>0.37014483268581055</v>
      </c>
      <c r="D152" s="215">
        <v>0.70774927469111848</v>
      </c>
      <c r="E152" s="215">
        <v>0.82018153094982627</v>
      </c>
      <c r="F152" s="215">
        <v>0.84923677335131798</v>
      </c>
      <c r="G152" s="215">
        <v>0.85290992432032608</v>
      </c>
      <c r="H152" s="215">
        <v>0.79497409366317184</v>
      </c>
      <c r="I152" s="215">
        <v>0.7486772504848247</v>
      </c>
      <c r="J152" s="215">
        <v>0.68775150693606957</v>
      </c>
      <c r="K152" s="215">
        <v>0.60495029885184737</v>
      </c>
      <c r="L152" s="251">
        <v>0.60495029885184737</v>
      </c>
      <c r="M152" s="154">
        <f t="shared" si="71"/>
        <v>0.18829470393557882</v>
      </c>
      <c r="N152" s="156">
        <f t="shared" si="72"/>
        <v>0.1112854579266683</v>
      </c>
      <c r="O152" s="214">
        <v>9.0616063371784885E-4</v>
      </c>
      <c r="P152" s="215">
        <v>0.39646009571496277</v>
      </c>
      <c r="Q152" s="215">
        <v>0.73349471799260535</v>
      </c>
      <c r="R152" s="215">
        <v>0.8364558390224851</v>
      </c>
      <c r="S152" s="215">
        <v>0.84818054508826279</v>
      </c>
      <c r="T152" s="215">
        <v>0.8496022807313458</v>
      </c>
      <c r="U152" s="215">
        <v>0.79433065876335229</v>
      </c>
      <c r="V152" s="215">
        <v>0.72443200492895388</v>
      </c>
      <c r="W152" s="215">
        <v>0.64580326131949461</v>
      </c>
      <c r="X152" s="215">
        <v>0.61715713958771479</v>
      </c>
      <c r="Y152" s="251">
        <v>0.54850862225579644</v>
      </c>
      <c r="Z152" s="154">
        <f t="shared" si="73"/>
        <v>0.27536876187722426</v>
      </c>
      <c r="AA152" s="156">
        <f t="shared" si="74"/>
        <v>0.16806060290852259</v>
      </c>
      <c r="AB152" s="795">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796">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069">
        <f t="shared" si="75"/>
        <v>0</v>
      </c>
      <c r="AE152" s="1073">
        <f t="shared" si="78"/>
        <v>0.18829470393557882</v>
      </c>
      <c r="AF152" s="1074">
        <f t="shared" si="79"/>
        <v>0.27536876187722426</v>
      </c>
      <c r="AG152" s="1074">
        <f t="shared" si="80"/>
        <v>0.46366346581280304</v>
      </c>
      <c r="AH152" s="1015">
        <f t="shared" si="76"/>
        <v>0.40610209304607986</v>
      </c>
      <c r="AI152" s="1075">
        <f t="shared" si="77"/>
        <v>0.5938979069539202</v>
      </c>
      <c r="AJ152" s="99"/>
      <c r="AK152" s="99"/>
      <c r="AL152" s="99"/>
      <c r="AM152" s="99"/>
    </row>
    <row r="153" spans="1:39" x14ac:dyDescent="0.2">
      <c r="A153" s="202">
        <v>2032</v>
      </c>
      <c r="B153" s="216">
        <v>3.2091236035361654E-3</v>
      </c>
      <c r="C153" s="217">
        <v>0.45799938301849069</v>
      </c>
      <c r="D153" s="217">
        <v>0.74863239931822634</v>
      </c>
      <c r="E153" s="217">
        <v>0.74415841513131431</v>
      </c>
      <c r="F153" s="217">
        <v>0.66574498491526246</v>
      </c>
      <c r="G153" s="217">
        <v>0.61478434300181151</v>
      </c>
      <c r="H153" s="217">
        <v>0.54262841275925044</v>
      </c>
      <c r="I153" s="217">
        <v>0.51959347621496443</v>
      </c>
      <c r="J153" s="217">
        <v>0.4979772948119956</v>
      </c>
      <c r="K153" s="217">
        <v>0.47618481640889665</v>
      </c>
      <c r="L153" s="252">
        <v>0.47618481640889665</v>
      </c>
      <c r="M153" s="168">
        <f t="shared" si="71"/>
        <v>0.19366861732756593</v>
      </c>
      <c r="N153" s="170">
        <f t="shared" si="72"/>
        <v>0.12272858899934294</v>
      </c>
      <c r="O153" s="216">
        <v>2.3100049182110342E-3</v>
      </c>
      <c r="P153" s="217">
        <v>0.48803548007023717</v>
      </c>
      <c r="Q153" s="217">
        <v>0.78752157191849381</v>
      </c>
      <c r="R153" s="217">
        <v>0.71912569272042337</v>
      </c>
      <c r="S153" s="217">
        <v>0.64858921727129826</v>
      </c>
      <c r="T153" s="217">
        <v>0.58861159590919299</v>
      </c>
      <c r="U153" s="217">
        <v>0.53172601261368768</v>
      </c>
      <c r="V153" s="217">
        <v>0.50782740810936611</v>
      </c>
      <c r="W153" s="217">
        <v>0.48624748839446846</v>
      </c>
      <c r="X153" s="217">
        <v>0.47574622369621522</v>
      </c>
      <c r="Y153" s="252">
        <v>0.45489510359579072</v>
      </c>
      <c r="Z153" s="168">
        <f t="shared" si="73"/>
        <v>0.28125800270814955</v>
      </c>
      <c r="AA153" s="170">
        <f t="shared" si="74"/>
        <v>0.18800608927367524</v>
      </c>
      <c r="AB153" s="795">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796">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069">
        <f t="shared" si="75"/>
        <v>0</v>
      </c>
      <c r="AE153" s="1073">
        <f t="shared" si="78"/>
        <v>0.19366861732756593</v>
      </c>
      <c r="AF153" s="1074">
        <f t="shared" si="79"/>
        <v>0.28125800270814955</v>
      </c>
      <c r="AG153" s="1074">
        <f t="shared" si="80"/>
        <v>0.47492662003571551</v>
      </c>
      <c r="AH153" s="1015">
        <f t="shared" si="76"/>
        <v>0.40778640142976535</v>
      </c>
      <c r="AI153" s="1075">
        <f t="shared" si="77"/>
        <v>0.59221359857023459</v>
      </c>
      <c r="AJ153" s="99"/>
      <c r="AK153" s="99"/>
      <c r="AL153" s="99"/>
      <c r="AM153" s="99"/>
    </row>
    <row r="154" spans="1:39" x14ac:dyDescent="0.2">
      <c r="A154" s="202">
        <v>2033</v>
      </c>
      <c r="B154" s="216">
        <v>6.2277626020668291E-3</v>
      </c>
      <c r="C154" s="217">
        <v>0.50220204339297181</v>
      </c>
      <c r="D154" s="217">
        <v>0.71059699749193206</v>
      </c>
      <c r="E154" s="217">
        <v>0.63049313844018717</v>
      </c>
      <c r="F154" s="217">
        <v>0.58807578428660778</v>
      </c>
      <c r="G154" s="217">
        <v>0.55936365657862552</v>
      </c>
      <c r="H154" s="217">
        <v>0.50993857954337574</v>
      </c>
      <c r="I154" s="217">
        <v>0.49783555338879648</v>
      </c>
      <c r="J154" s="217">
        <v>0.4803663536208736</v>
      </c>
      <c r="K154" s="217">
        <v>0.46615677205386641</v>
      </c>
      <c r="L154" s="252">
        <v>0.46615677205386641</v>
      </c>
      <c r="M154" s="168">
        <f t="shared" si="71"/>
        <v>0.18982461113038479</v>
      </c>
      <c r="N154" s="170">
        <f t="shared" si="72"/>
        <v>0.12493907073170352</v>
      </c>
      <c r="O154" s="216">
        <v>4.55767212994129E-3</v>
      </c>
      <c r="P154" s="217">
        <v>0.53293166716135687</v>
      </c>
      <c r="Q154" s="217">
        <v>0.70581886349631195</v>
      </c>
      <c r="R154" s="217">
        <v>0.63023379212742225</v>
      </c>
      <c r="S154" s="217">
        <v>0.57588890893678091</v>
      </c>
      <c r="T154" s="217">
        <v>0.54037203457651695</v>
      </c>
      <c r="U154" s="217">
        <v>0.50915575527023138</v>
      </c>
      <c r="V154" s="217">
        <v>0.48765719445395794</v>
      </c>
      <c r="W154" s="217">
        <v>0.46771899439006187</v>
      </c>
      <c r="X154" s="217">
        <v>0.46128154924322967</v>
      </c>
      <c r="Y154" s="252">
        <v>0.44243022671428472</v>
      </c>
      <c r="Z154" s="168">
        <f t="shared" si="73"/>
        <v>0.27881967029751809</v>
      </c>
      <c r="AA154" s="170">
        <f t="shared" si="74"/>
        <v>0.1936095079926817</v>
      </c>
      <c r="AB154" s="795">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796">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069">
        <f>AB154*AH154+AC154*AI154</f>
        <v>0</v>
      </c>
      <c r="AE154" s="1073">
        <f t="shared" si="78"/>
        <v>0.18982461113038479</v>
      </c>
      <c r="AF154" s="1074">
        <f t="shared" si="79"/>
        <v>0.27881967029751809</v>
      </c>
      <c r="AG154" s="1074">
        <f t="shared" si="80"/>
        <v>0.46864428142790288</v>
      </c>
      <c r="AH154" s="1015">
        <f t="shared" si="76"/>
        <v>0.40505052265230246</v>
      </c>
      <c r="AI154" s="1075">
        <f t="shared" si="77"/>
        <v>0.59494947734769754</v>
      </c>
      <c r="AJ154" s="99"/>
      <c r="AK154" s="99"/>
      <c r="AL154" s="99"/>
      <c r="AM154" s="99"/>
    </row>
    <row r="155" spans="1:39" x14ac:dyDescent="0.2">
      <c r="A155" s="202">
        <v>2034</v>
      </c>
      <c r="B155" s="216">
        <v>8.5353646267955306E-3</v>
      </c>
      <c r="C155" s="217">
        <v>0.53535376698710269</v>
      </c>
      <c r="D155" s="217">
        <v>0.69032826281658877</v>
      </c>
      <c r="E155" s="217">
        <v>0.59718324045068671</v>
      </c>
      <c r="F155" s="217">
        <v>0.5708408673383274</v>
      </c>
      <c r="G155" s="217">
        <v>0.54458623796045869</v>
      </c>
      <c r="H155" s="217">
        <v>0.50423592251802929</v>
      </c>
      <c r="I155" s="217">
        <v>0.48644009748404576</v>
      </c>
      <c r="J155" s="217">
        <v>0.47341953852913188</v>
      </c>
      <c r="K155" s="217">
        <v>0.45788798464464742</v>
      </c>
      <c r="L155" s="252">
        <v>0.45788798464464742</v>
      </c>
      <c r="M155" s="168">
        <f t="shared" si="71"/>
        <v>0.19118655098734974</v>
      </c>
      <c r="N155" s="170">
        <f t="shared" si="72"/>
        <v>0.12826108819912893</v>
      </c>
      <c r="O155" s="216">
        <v>6.2988475839662024E-3</v>
      </c>
      <c r="P155" s="217">
        <v>0.56469075581510619</v>
      </c>
      <c r="Q155" s="217">
        <v>0.67651076049489678</v>
      </c>
      <c r="R155" s="217">
        <v>0.59741591573063524</v>
      </c>
      <c r="S155" s="217">
        <v>0.54882846192989676</v>
      </c>
      <c r="T155" s="217">
        <v>0.52682091021040156</v>
      </c>
      <c r="U155" s="217">
        <v>0.49640886260661232</v>
      </c>
      <c r="V155" s="217">
        <v>0.47944523167266739</v>
      </c>
      <c r="W155" s="217">
        <v>0.4589604207456035</v>
      </c>
      <c r="X155" s="217">
        <v>0.45007078897579528</v>
      </c>
      <c r="Y155" s="252">
        <v>0.43320339608335334</v>
      </c>
      <c r="Z155" s="168">
        <f t="shared" si="73"/>
        <v>0.2821155472940064</v>
      </c>
      <c r="AA155" s="170">
        <f t="shared" si="74"/>
        <v>0.19984220036929792</v>
      </c>
      <c r="AB155" s="795">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796">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069">
        <f t="shared" ref="AD155:AD171" si="81">AB155*AH155+AC155*AI155</f>
        <v>0</v>
      </c>
      <c r="AE155" s="1073">
        <f t="shared" si="78"/>
        <v>0.19118655098734974</v>
      </c>
      <c r="AF155" s="1074">
        <f t="shared" si="79"/>
        <v>0.2821155472940064</v>
      </c>
      <c r="AG155" s="1074">
        <f t="shared" si="80"/>
        <v>0.47330209828135617</v>
      </c>
      <c r="AH155" s="1015">
        <f t="shared" si="76"/>
        <v>0.4039419045078862</v>
      </c>
      <c r="AI155" s="1075">
        <f t="shared" si="77"/>
        <v>0.59605809549211375</v>
      </c>
      <c r="AJ155" s="99"/>
      <c r="AK155" s="99"/>
      <c r="AL155" s="99"/>
      <c r="AM155" s="99"/>
    </row>
    <row r="156" spans="1:39" ht="13.5" thickBot="1" x14ac:dyDescent="0.25">
      <c r="A156" s="200">
        <v>2035</v>
      </c>
      <c r="B156" s="218">
        <v>1.3307177916757663E-2</v>
      </c>
      <c r="C156" s="219">
        <v>0.55301705346411933</v>
      </c>
      <c r="D156" s="219">
        <v>0.62840963323657273</v>
      </c>
      <c r="E156" s="219">
        <v>0.57519184513828603</v>
      </c>
      <c r="F156" s="219">
        <v>0.54100169653252095</v>
      </c>
      <c r="G156" s="219">
        <v>0.5180472376746893</v>
      </c>
      <c r="H156" s="219">
        <v>0.48478237422611542</v>
      </c>
      <c r="I156" s="219">
        <v>0.47174190170622843</v>
      </c>
      <c r="J156" s="219">
        <v>0.45506281532149956</v>
      </c>
      <c r="K156" s="219">
        <v>0.43783937029801834</v>
      </c>
      <c r="L156" s="253">
        <v>0.43783937029801834</v>
      </c>
      <c r="M156" s="182">
        <f t="shared" si="71"/>
        <v>0.1866880025391362</v>
      </c>
      <c r="N156" s="184">
        <f t="shared" si="72"/>
        <v>0.12774694082641871</v>
      </c>
      <c r="O156" s="218">
        <v>9.9452200378904038E-3</v>
      </c>
      <c r="P156" s="219">
        <v>0.57932550658566184</v>
      </c>
      <c r="Q156" s="219">
        <v>0.61124382623706697</v>
      </c>
      <c r="R156" s="219">
        <v>0.56348374740537821</v>
      </c>
      <c r="S156" s="219">
        <v>0.53695462230119451</v>
      </c>
      <c r="T156" s="219">
        <v>0.50820304636068214</v>
      </c>
      <c r="U156" s="219">
        <v>0.48084649737756613</v>
      </c>
      <c r="V156" s="219">
        <v>0.45630586083140168</v>
      </c>
      <c r="W156" s="219">
        <v>0.4379882845235693</v>
      </c>
      <c r="X156" s="219">
        <v>0.42833235299681344</v>
      </c>
      <c r="Y156" s="253">
        <v>0.41498473304551103</v>
      </c>
      <c r="Z156" s="182">
        <f t="shared" si="73"/>
        <v>0.27770735097521809</v>
      </c>
      <c r="AA156" s="184">
        <f t="shared" si="74"/>
        <v>0.20049853130792639</v>
      </c>
      <c r="AB156" s="795">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796">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069">
        <f t="shared" si="81"/>
        <v>0</v>
      </c>
      <c r="AE156" s="1073">
        <f t="shared" si="78"/>
        <v>0.1866880025391362</v>
      </c>
      <c r="AF156" s="1074">
        <f t="shared" si="79"/>
        <v>0.27770735097521809</v>
      </c>
      <c r="AG156" s="1074">
        <f t="shared" si="80"/>
        <v>0.46439535351435429</v>
      </c>
      <c r="AH156" s="1015">
        <f t="shared" si="76"/>
        <v>0.40200230498939682</v>
      </c>
      <c r="AI156" s="1075">
        <f t="shared" si="77"/>
        <v>0.59799769501060318</v>
      </c>
      <c r="AJ156" s="99"/>
      <c r="AK156" s="99"/>
      <c r="AL156" s="99"/>
      <c r="AM156" s="99"/>
    </row>
    <row r="157" spans="1:39" x14ac:dyDescent="0.2">
      <c r="A157" s="201">
        <v>2036</v>
      </c>
      <c r="B157" s="214">
        <v>4.4516188330744014E-2</v>
      </c>
      <c r="C157" s="215">
        <v>0.57107299414414192</v>
      </c>
      <c r="D157" s="215">
        <v>0.5678121908660041</v>
      </c>
      <c r="E157" s="215">
        <v>0.53434004547208991</v>
      </c>
      <c r="F157" s="215">
        <v>0.51508451049896953</v>
      </c>
      <c r="G157" s="215">
        <v>0.49952500402270072</v>
      </c>
      <c r="H157" s="215">
        <v>0.46673138076545034</v>
      </c>
      <c r="I157" s="215">
        <v>0.45189053283627223</v>
      </c>
      <c r="J157" s="215">
        <v>0.43634539870936134</v>
      </c>
      <c r="K157" s="215">
        <v>0.41882848457563504</v>
      </c>
      <c r="L157" s="251">
        <v>0.41882848457563504</v>
      </c>
      <c r="M157" s="154">
        <f t="shared" si="71"/>
        <v>0.18358882839734572</v>
      </c>
      <c r="N157" s="156">
        <f t="shared" si="72"/>
        <v>0.13141668210461302</v>
      </c>
      <c r="O157" s="214">
        <v>3.4585458371115513E-2</v>
      </c>
      <c r="P157" s="215">
        <v>0.58343669087718153</v>
      </c>
      <c r="Q157" s="215">
        <v>0.57334250595808656</v>
      </c>
      <c r="R157" s="215">
        <v>0.52545072661114445</v>
      </c>
      <c r="S157" s="215">
        <v>0.50822644514804782</v>
      </c>
      <c r="T157" s="215">
        <v>0.48567363559733595</v>
      </c>
      <c r="U157" s="215">
        <v>0.45910042174702492</v>
      </c>
      <c r="V157" s="215">
        <v>0.43448296979492379</v>
      </c>
      <c r="W157" s="215">
        <v>0.41760093889177896</v>
      </c>
      <c r="X157" s="215">
        <v>0.41162788287369567</v>
      </c>
      <c r="Y157" s="251">
        <v>0.39362832700316053</v>
      </c>
      <c r="Z157" s="154">
        <f t="shared" si="73"/>
        <v>0.27450056142867679</v>
      </c>
      <c r="AA157" s="156">
        <f t="shared" si="74"/>
        <v>0.20525938261333138</v>
      </c>
      <c r="AB157" s="795">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796">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069">
        <f t="shared" si="81"/>
        <v>0</v>
      </c>
      <c r="AE157" s="1073">
        <f t="shared" si="78"/>
        <v>0.18358882839734572</v>
      </c>
      <c r="AF157" s="1074">
        <f t="shared" si="79"/>
        <v>0.27450056142867679</v>
      </c>
      <c r="AG157" s="1074">
        <f t="shared" si="80"/>
        <v>0.45808938982602254</v>
      </c>
      <c r="AH157" s="1015">
        <f t="shared" si="76"/>
        <v>0.40077075015221547</v>
      </c>
      <c r="AI157" s="1075">
        <f t="shared" si="77"/>
        <v>0.59922924984778447</v>
      </c>
      <c r="AJ157" s="99"/>
      <c r="AK157" s="99"/>
      <c r="AL157" s="99"/>
      <c r="AM157" s="99"/>
    </row>
    <row r="158" spans="1:39" x14ac:dyDescent="0.2">
      <c r="A158" s="202">
        <v>2037</v>
      </c>
      <c r="B158" s="216">
        <v>6.4021577631062379E-2</v>
      </c>
      <c r="C158" s="217">
        <v>0.5629275583120924</v>
      </c>
      <c r="D158" s="217">
        <v>0.56189057911130058</v>
      </c>
      <c r="E158" s="217">
        <v>0.52644286544521546</v>
      </c>
      <c r="F158" s="217">
        <v>0.51043879808978543</v>
      </c>
      <c r="G158" s="217">
        <v>0.49230246207789524</v>
      </c>
      <c r="H158" s="217">
        <v>0.45458948578688296</v>
      </c>
      <c r="I158" s="217">
        <v>0.44179105652992412</v>
      </c>
      <c r="J158" s="217">
        <v>0.42528981928507642</v>
      </c>
      <c r="K158" s="217">
        <v>0.40673754038637749</v>
      </c>
      <c r="L158" s="252">
        <v>0.40673754038637749</v>
      </c>
      <c r="M158" s="168">
        <f t="shared" si="71"/>
        <v>0.18260302414961974</v>
      </c>
      <c r="N158" s="170">
        <f t="shared" si="72"/>
        <v>0.13296756501765578</v>
      </c>
      <c r="O158" s="216">
        <v>5.68690906508377E-2</v>
      </c>
      <c r="P158" s="217">
        <v>0.57080233808278724</v>
      </c>
      <c r="Q158" s="217">
        <v>0.53866336520125002</v>
      </c>
      <c r="R158" s="217">
        <v>0.52408427985547701</v>
      </c>
      <c r="S158" s="217">
        <v>0.50078169287289109</v>
      </c>
      <c r="T158" s="217">
        <v>0.47498675934096063</v>
      </c>
      <c r="U158" s="217">
        <v>0.44495835853962235</v>
      </c>
      <c r="V158" s="217">
        <v>0.42326544767892449</v>
      </c>
      <c r="W158" s="217">
        <v>0.40698967049836277</v>
      </c>
      <c r="X158" s="217">
        <v>0.40071311267085813</v>
      </c>
      <c r="Y158" s="252">
        <v>0.38461981734291517</v>
      </c>
      <c r="Z158" s="168">
        <f t="shared" si="73"/>
        <v>0.26985990936134047</v>
      </c>
      <c r="AA158" s="170">
        <f t="shared" si="74"/>
        <v>0.20629091538504452</v>
      </c>
      <c r="AB158" s="795">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796">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069">
        <f t="shared" si="81"/>
        <v>0</v>
      </c>
      <c r="AE158" s="1073">
        <f t="shared" si="78"/>
        <v>0.18260302414961974</v>
      </c>
      <c r="AF158" s="1074">
        <f t="shared" si="79"/>
        <v>0.26985990936134047</v>
      </c>
      <c r="AG158" s="1074">
        <f t="shared" si="80"/>
        <v>0.45246293351096023</v>
      </c>
      <c r="AH158" s="1015">
        <f t="shared" si="76"/>
        <v>0.40357565366223852</v>
      </c>
      <c r="AI158" s="1075">
        <f t="shared" si="77"/>
        <v>0.59642434633776142</v>
      </c>
      <c r="AJ158" s="99"/>
      <c r="AK158" s="99"/>
      <c r="AL158" s="99"/>
      <c r="AM158" s="99"/>
    </row>
    <row r="159" spans="1:39" x14ac:dyDescent="0.2">
      <c r="A159" s="202">
        <v>2038</v>
      </c>
      <c r="B159" s="216">
        <v>0.11205304559638309</v>
      </c>
      <c r="C159" s="217">
        <v>0.56432652738910083</v>
      </c>
      <c r="D159" s="217">
        <v>0.52866437335944538</v>
      </c>
      <c r="E159" s="217">
        <v>0.51796289636073611</v>
      </c>
      <c r="F159" s="217">
        <v>0.50227284066526756</v>
      </c>
      <c r="G159" s="217">
        <v>0.48032839558717261</v>
      </c>
      <c r="H159" s="217">
        <v>0.43867318507880126</v>
      </c>
      <c r="I159" s="217">
        <v>0.42513749206170759</v>
      </c>
      <c r="J159" s="217">
        <v>0.40744621516966217</v>
      </c>
      <c r="K159" s="217">
        <v>0.39216892155320399</v>
      </c>
      <c r="L159" s="252">
        <v>0.39216892155320399</v>
      </c>
      <c r="M159" s="168">
        <f t="shared" si="71"/>
        <v>0.1825777502459435</v>
      </c>
      <c r="N159" s="170">
        <f t="shared" si="72"/>
        <v>0.13913833635940454</v>
      </c>
      <c r="O159" s="216">
        <v>9.022721915165538E-2</v>
      </c>
      <c r="P159" s="217">
        <v>0.55163759479380592</v>
      </c>
      <c r="Q159" s="217">
        <v>0.53333118493583176</v>
      </c>
      <c r="R159" s="217">
        <v>0.50973490501373708</v>
      </c>
      <c r="S159" s="217">
        <v>0.48986756056186354</v>
      </c>
      <c r="T159" s="217">
        <v>0.45993167356868558</v>
      </c>
      <c r="U159" s="217">
        <v>0.43143101575517945</v>
      </c>
      <c r="V159" s="217">
        <v>0.41004969345725445</v>
      </c>
      <c r="W159" s="217">
        <v>0.39220373595648073</v>
      </c>
      <c r="X159" s="217">
        <v>0.38791666214063675</v>
      </c>
      <c r="Y159" s="252">
        <v>0.37216109035013267</v>
      </c>
      <c r="Z159" s="168">
        <f t="shared" si="73"/>
        <v>0.26626498711751734</v>
      </c>
      <c r="AA159" s="170">
        <f t="shared" si="74"/>
        <v>0.2097107607364293</v>
      </c>
      <c r="AB159" s="795">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796">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069">
        <f t="shared" si="81"/>
        <v>0</v>
      </c>
      <c r="AE159" s="1073">
        <f t="shared" si="78"/>
        <v>0.1825777502459435</v>
      </c>
      <c r="AF159" s="1074">
        <f t="shared" si="79"/>
        <v>0.26626498711751734</v>
      </c>
      <c r="AG159" s="1074">
        <f t="shared" si="80"/>
        <v>0.44884273736346081</v>
      </c>
      <c r="AH159" s="1015">
        <f t="shared" si="76"/>
        <v>0.4067744335542115</v>
      </c>
      <c r="AI159" s="1075">
        <f t="shared" si="77"/>
        <v>0.5932255664457885</v>
      </c>
      <c r="AJ159" s="99"/>
      <c r="AK159" s="99"/>
      <c r="AL159" s="99"/>
      <c r="AM159" s="99"/>
    </row>
    <row r="160" spans="1:39" x14ac:dyDescent="0.2">
      <c r="A160" s="202">
        <v>2039</v>
      </c>
      <c r="B160" s="216">
        <v>0.18417786889359697</v>
      </c>
      <c r="C160" s="217">
        <v>0.55476943828871128</v>
      </c>
      <c r="D160" s="217">
        <v>0.53679704989037413</v>
      </c>
      <c r="E160" s="217">
        <v>0.50761576522952057</v>
      </c>
      <c r="F160" s="217">
        <v>0.48596793544135014</v>
      </c>
      <c r="G160" s="217">
        <v>0.46461193437788739</v>
      </c>
      <c r="H160" s="217">
        <v>0.42129074063805677</v>
      </c>
      <c r="I160" s="217">
        <v>0.4072247848535489</v>
      </c>
      <c r="J160" s="217">
        <v>0.39086202795103286</v>
      </c>
      <c r="K160" s="217">
        <v>0.37327979776383741</v>
      </c>
      <c r="L160" s="252">
        <v>0.37327979776383741</v>
      </c>
      <c r="M160" s="168">
        <f t="shared" si="71"/>
        <v>0.18608287877168936</v>
      </c>
      <c r="N160" s="170">
        <f t="shared" si="72"/>
        <v>0.14974154619647753</v>
      </c>
      <c r="O160" s="216">
        <v>0.16760322278113171</v>
      </c>
      <c r="P160" s="217">
        <v>0.5418079251537673</v>
      </c>
      <c r="Q160" s="217">
        <v>0.52751158411603383</v>
      </c>
      <c r="R160" s="217">
        <v>0.50324664035120392</v>
      </c>
      <c r="S160" s="217">
        <v>0.47474731449738328</v>
      </c>
      <c r="T160" s="217">
        <v>0.44268605823061197</v>
      </c>
      <c r="U160" s="217">
        <v>0.41216607359714053</v>
      </c>
      <c r="V160" s="217">
        <v>0.39321458626079236</v>
      </c>
      <c r="W160" s="217">
        <v>0.37743306790807318</v>
      </c>
      <c r="X160" s="217">
        <v>0.37119176556277428</v>
      </c>
      <c r="Y160" s="252">
        <v>0.36000196357890613</v>
      </c>
      <c r="Z160" s="168">
        <f t="shared" si="73"/>
        <v>0.27038725929957647</v>
      </c>
      <c r="AA160" s="170">
        <f t="shared" si="74"/>
        <v>0.22763964130432238</v>
      </c>
      <c r="AB160" s="795">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796">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069">
        <f t="shared" si="81"/>
        <v>0</v>
      </c>
      <c r="AE160" s="1073">
        <f t="shared" si="78"/>
        <v>0.18608287877168936</v>
      </c>
      <c r="AF160" s="1074">
        <f t="shared" si="79"/>
        <v>0.27038725929957647</v>
      </c>
      <c r="AG160" s="1074">
        <f t="shared" si="80"/>
        <v>0.4564701380712658</v>
      </c>
      <c r="AH160" s="1015">
        <f t="shared" si="76"/>
        <v>0.40765619314759516</v>
      </c>
      <c r="AI160" s="1075">
        <f t="shared" si="77"/>
        <v>0.59234380685240495</v>
      </c>
      <c r="AJ160" s="99"/>
      <c r="AK160" s="99"/>
      <c r="AL160" s="99"/>
      <c r="AM160" s="99"/>
    </row>
    <row r="161" spans="1:39" ht="13.5" thickBot="1" x14ac:dyDescent="0.25">
      <c r="A161" s="200">
        <v>2040</v>
      </c>
      <c r="B161" s="218">
        <v>0.2802024801352947</v>
      </c>
      <c r="C161" s="219">
        <v>0.55115084963792615</v>
      </c>
      <c r="D161" s="219">
        <v>0.52137120662565739</v>
      </c>
      <c r="E161" s="219">
        <v>0.49893359875696042</v>
      </c>
      <c r="F161" s="219">
        <v>0.46922426137273138</v>
      </c>
      <c r="G161" s="219">
        <v>0.44290781942742274</v>
      </c>
      <c r="H161" s="219">
        <v>0.39843348342529106</v>
      </c>
      <c r="I161" s="219">
        <v>0.38603336995573889</v>
      </c>
      <c r="J161" s="219">
        <v>0.37174899153875302</v>
      </c>
      <c r="K161" s="219">
        <v>0.35882830408021538</v>
      </c>
      <c r="L161" s="253">
        <v>0.35882830408021538</v>
      </c>
      <c r="M161" s="182">
        <f t="shared" si="71"/>
        <v>0.19016164676371425</v>
      </c>
      <c r="N161" s="184">
        <f t="shared" si="72"/>
        <v>0.16393978465846026</v>
      </c>
      <c r="O161" s="218">
        <v>0.2592177243480206</v>
      </c>
      <c r="P161" s="219">
        <v>0.53882128982329325</v>
      </c>
      <c r="Q161" s="219">
        <v>0.51389225561230634</v>
      </c>
      <c r="R161" s="219">
        <v>0.48589386709849025</v>
      </c>
      <c r="S161" s="219">
        <v>0.45251487552597114</v>
      </c>
      <c r="T161" s="219">
        <v>0.42102040894398396</v>
      </c>
      <c r="U161" s="219">
        <v>0.39101399039752471</v>
      </c>
      <c r="V161" s="219">
        <v>0.37404017565396763</v>
      </c>
      <c r="W161" s="219">
        <v>0.36081354883478073</v>
      </c>
      <c r="X161" s="219">
        <v>0.35679400229925312</v>
      </c>
      <c r="Y161" s="253">
        <v>0.34621533126419202</v>
      </c>
      <c r="Z161" s="182">
        <f t="shared" si="73"/>
        <v>0.27642994112049751</v>
      </c>
      <c r="AA161" s="184">
        <f t="shared" si="74"/>
        <v>0.25053516326312308</v>
      </c>
      <c r="AB161" s="795">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796">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069">
        <f t="shared" si="81"/>
        <v>0</v>
      </c>
      <c r="AE161" s="1073">
        <f t="shared" si="78"/>
        <v>0.19016164676371425</v>
      </c>
      <c r="AF161" s="1074">
        <f t="shared" si="79"/>
        <v>0.27642994112049751</v>
      </c>
      <c r="AG161" s="1074">
        <f t="shared" si="80"/>
        <v>0.46659158788421173</v>
      </c>
      <c r="AH161" s="1015">
        <f t="shared" si="76"/>
        <v>0.40755481174878</v>
      </c>
      <c r="AI161" s="1075">
        <f t="shared" si="77"/>
        <v>0.59244518825122006</v>
      </c>
      <c r="AJ161" s="99"/>
      <c r="AK161" s="99"/>
      <c r="AL161" s="99"/>
      <c r="AM161" s="99"/>
    </row>
    <row r="162" spans="1:39" x14ac:dyDescent="0.2">
      <c r="A162" s="201">
        <v>2041</v>
      </c>
      <c r="B162" s="214">
        <v>0.41237627574946756</v>
      </c>
      <c r="C162" s="215">
        <v>0.54256724765920894</v>
      </c>
      <c r="D162" s="215">
        <v>0.51452294636579121</v>
      </c>
      <c r="E162" s="215">
        <v>0.47711244402109498</v>
      </c>
      <c r="F162" s="215">
        <v>0.44101343021738365</v>
      </c>
      <c r="G162" s="215">
        <v>0.41204602833809595</v>
      </c>
      <c r="H162" s="215">
        <v>0.36981709742434227</v>
      </c>
      <c r="I162" s="215">
        <v>0.36004718875537867</v>
      </c>
      <c r="J162" s="215">
        <v>0.35099750322606821</v>
      </c>
      <c r="K162" s="215">
        <v>0.33917619210057304</v>
      </c>
      <c r="L162" s="251">
        <v>0.33917619210057304</v>
      </c>
      <c r="M162" s="154">
        <f t="shared" si="71"/>
        <v>0.19600054771067432</v>
      </c>
      <c r="N162" s="156">
        <f t="shared" si="72"/>
        <v>0.18350654804739344</v>
      </c>
      <c r="O162" s="214">
        <v>0.39092127343926575</v>
      </c>
      <c r="P162" s="215">
        <v>0.53170827065562642</v>
      </c>
      <c r="Q162" s="215">
        <v>0.5093337543800831</v>
      </c>
      <c r="R162" s="215">
        <v>0.46060703155607147</v>
      </c>
      <c r="S162" s="215">
        <v>0.42233374434207882</v>
      </c>
      <c r="T162" s="215">
        <v>0.39068744985235671</v>
      </c>
      <c r="U162" s="215">
        <v>0.36730214435954323</v>
      </c>
      <c r="V162" s="215">
        <v>0.3531561327802194</v>
      </c>
      <c r="W162" s="215">
        <v>0.34094397788789127</v>
      </c>
      <c r="X162" s="215">
        <v>0.33740631403761989</v>
      </c>
      <c r="Y162" s="251">
        <v>0.33125655490393829</v>
      </c>
      <c r="Z162" s="154">
        <f t="shared" si="73"/>
        <v>0.28592799254578677</v>
      </c>
      <c r="AA162" s="156">
        <f t="shared" si="74"/>
        <v>0.28348693218138732</v>
      </c>
      <c r="AB162" s="795">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796">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069">
        <f t="shared" si="81"/>
        <v>0</v>
      </c>
      <c r="AE162" s="1073">
        <f t="shared" si="78"/>
        <v>0.19600054771067432</v>
      </c>
      <c r="AF162" s="1074">
        <f t="shared" si="79"/>
        <v>0.28592799254578677</v>
      </c>
      <c r="AG162" s="1074">
        <f t="shared" si="80"/>
        <v>0.48192854025646109</v>
      </c>
      <c r="AH162" s="1015">
        <f t="shared" si="76"/>
        <v>0.40670043655511973</v>
      </c>
      <c r="AI162" s="1075">
        <f t="shared" si="77"/>
        <v>0.59329956344488022</v>
      </c>
      <c r="AJ162" s="99"/>
      <c r="AK162" s="99"/>
      <c r="AL162" s="99"/>
      <c r="AM162" s="99"/>
    </row>
    <row r="163" spans="1:39" x14ac:dyDescent="0.2">
      <c r="A163" s="202">
        <v>2042</v>
      </c>
      <c r="B163" s="216">
        <v>0.54377064951569443</v>
      </c>
      <c r="C163" s="217">
        <v>0.54004862725253566</v>
      </c>
      <c r="D163" s="217">
        <v>0.50253874842508228</v>
      </c>
      <c r="E163" s="217">
        <v>0.44121582097311479</v>
      </c>
      <c r="F163" s="217">
        <v>0.40200356738023835</v>
      </c>
      <c r="G163" s="217">
        <v>0.37367162010449595</v>
      </c>
      <c r="H163" s="217">
        <v>0.34264259037707101</v>
      </c>
      <c r="I163" s="217">
        <v>0.33390774835869147</v>
      </c>
      <c r="J163" s="217">
        <v>0.32627809479562975</v>
      </c>
      <c r="K163" s="217">
        <v>0.31991769581359936</v>
      </c>
      <c r="L163" s="252">
        <v>0.31991769581359936</v>
      </c>
      <c r="M163" s="168">
        <f t="shared" si="71"/>
        <v>0.20139087039670298</v>
      </c>
      <c r="N163" s="170">
        <f t="shared" si="72"/>
        <v>0.20322826194949906</v>
      </c>
      <c r="O163" s="216">
        <v>0.52003952904563222</v>
      </c>
      <c r="P163" s="217">
        <v>0.53072611680113635</v>
      </c>
      <c r="Q163" s="217">
        <v>0.48923086639156554</v>
      </c>
      <c r="R163" s="217">
        <v>0.4237748550349108</v>
      </c>
      <c r="S163" s="217">
        <v>0.38774938710808521</v>
      </c>
      <c r="T163" s="217">
        <v>0.36003126093701976</v>
      </c>
      <c r="U163" s="217">
        <v>0.34035820908338493</v>
      </c>
      <c r="V163" s="217">
        <v>0.32994438426789524</v>
      </c>
      <c r="W163" s="217">
        <v>0.32292912004555002</v>
      </c>
      <c r="X163" s="217">
        <v>0.31991769581359936</v>
      </c>
      <c r="Y163" s="252">
        <v>0.31499201854416042</v>
      </c>
      <c r="Z163" s="168">
        <f t="shared" si="73"/>
        <v>0.29460309827118569</v>
      </c>
      <c r="AA163" s="170">
        <f t="shared" si="74"/>
        <v>0.31627027407272801</v>
      </c>
      <c r="AB163" s="795">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796">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069">
        <f t="shared" si="81"/>
        <v>0</v>
      </c>
      <c r="AE163" s="1073">
        <f t="shared" si="78"/>
        <v>0.20139087039670298</v>
      </c>
      <c r="AF163" s="1074">
        <f t="shared" si="79"/>
        <v>0.29460309827118569</v>
      </c>
      <c r="AG163" s="1074">
        <f t="shared" si="80"/>
        <v>0.4959939686678887</v>
      </c>
      <c r="AH163" s="1015">
        <f t="shared" si="76"/>
        <v>0.40603491800028674</v>
      </c>
      <c r="AI163" s="1075">
        <f t="shared" si="77"/>
        <v>0.59396508199971321</v>
      </c>
      <c r="AJ163" s="99"/>
      <c r="AK163" s="99"/>
      <c r="AL163" s="99"/>
      <c r="AM163" s="99"/>
    </row>
    <row r="164" spans="1:39" x14ac:dyDescent="0.2">
      <c r="A164" s="202">
        <v>2043</v>
      </c>
      <c r="B164" s="216">
        <v>0.62333416202465608</v>
      </c>
      <c r="C164" s="217">
        <v>0.53064106004806988</v>
      </c>
      <c r="D164" s="217">
        <v>0.47839698541058268</v>
      </c>
      <c r="E164" s="217">
        <v>0.40048438550700577</v>
      </c>
      <c r="F164" s="217">
        <v>0.36465784597514889</v>
      </c>
      <c r="G164" s="217">
        <v>0.34235668668777275</v>
      </c>
      <c r="H164" s="217">
        <v>0.31921056874864573</v>
      </c>
      <c r="I164" s="217">
        <v>0.31543562940207631</v>
      </c>
      <c r="J164" s="217">
        <v>0.30889965673691477</v>
      </c>
      <c r="K164" s="217">
        <v>0.30384923563408867</v>
      </c>
      <c r="L164" s="252">
        <v>0.30384923563408867</v>
      </c>
      <c r="M164" s="168">
        <f t="shared" si="71"/>
        <v>0.20069164659343561</v>
      </c>
      <c r="N164" s="170">
        <f t="shared" si="72"/>
        <v>0.21275004940678144</v>
      </c>
      <c r="O164" s="216">
        <v>0.60648560634637838</v>
      </c>
      <c r="P164" s="217">
        <v>0.53026059531895475</v>
      </c>
      <c r="Q164" s="217">
        <v>0.4565646580828695</v>
      </c>
      <c r="R164" s="217">
        <v>0.37944833830827696</v>
      </c>
      <c r="S164" s="217">
        <v>0.35038751531383688</v>
      </c>
      <c r="T164" s="217">
        <v>0.32995535042641583</v>
      </c>
      <c r="U164" s="217">
        <v>0.3172873062873765</v>
      </c>
      <c r="V164" s="217">
        <v>0.31041808604886972</v>
      </c>
      <c r="W164" s="217">
        <v>0.30617815859341241</v>
      </c>
      <c r="X164" s="217">
        <v>0.30384923563408867</v>
      </c>
      <c r="Y164" s="252">
        <v>0.3011940179824027</v>
      </c>
      <c r="Z164" s="168">
        <f t="shared" si="73"/>
        <v>0.29714039187019198</v>
      </c>
      <c r="AA164" s="170">
        <f t="shared" si="74"/>
        <v>0.33678931447705746</v>
      </c>
      <c r="AB164" s="795">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796">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069">
        <f t="shared" si="81"/>
        <v>0</v>
      </c>
      <c r="AE164" s="1073">
        <f t="shared" si="78"/>
        <v>0.20069164659343561</v>
      </c>
      <c r="AF164" s="1074">
        <f t="shared" si="79"/>
        <v>0.29714039187019198</v>
      </c>
      <c r="AG164" s="1074">
        <f t="shared" si="80"/>
        <v>0.49783203846362756</v>
      </c>
      <c r="AH164" s="1015">
        <f t="shared" si="76"/>
        <v>0.40313123922838578</v>
      </c>
      <c r="AI164" s="1075">
        <f t="shared" si="77"/>
        <v>0.59686876077161422</v>
      </c>
      <c r="AJ164" s="99"/>
      <c r="AK164" s="99"/>
      <c r="AL164" s="99"/>
      <c r="AM164" s="99"/>
    </row>
    <row r="165" spans="1:39" x14ac:dyDescent="0.2">
      <c r="A165" s="202">
        <v>2044</v>
      </c>
      <c r="B165" s="216">
        <v>0.65719827846904311</v>
      </c>
      <c r="C165" s="217">
        <v>0.51671403157806206</v>
      </c>
      <c r="D165" s="217">
        <v>0.4324430606017417</v>
      </c>
      <c r="E165" s="217">
        <v>0.35674124846730021</v>
      </c>
      <c r="F165" s="217">
        <v>0.33095427863398708</v>
      </c>
      <c r="G165" s="217">
        <v>0.31855720775070068</v>
      </c>
      <c r="H165" s="217">
        <v>0.30089692257291467</v>
      </c>
      <c r="I165" s="217">
        <v>0.29793752963679815</v>
      </c>
      <c r="J165" s="217">
        <v>0.29420689299947289</v>
      </c>
      <c r="K165" s="217">
        <v>0.29150388770090657</v>
      </c>
      <c r="L165" s="252">
        <v>0.29150388770090657</v>
      </c>
      <c r="M165" s="168">
        <f t="shared" si="71"/>
        <v>0.19400305410956475</v>
      </c>
      <c r="N165" s="170">
        <f t="shared" si="72"/>
        <v>0.21297674050413165</v>
      </c>
      <c r="O165" s="216">
        <v>0.67125930554183533</v>
      </c>
      <c r="P165" s="217">
        <v>0.51289408712281492</v>
      </c>
      <c r="Q165" s="217">
        <v>0.40301649485109631</v>
      </c>
      <c r="R165" s="217">
        <v>0.34486038216960757</v>
      </c>
      <c r="S165" s="217">
        <v>0.32333290216320609</v>
      </c>
      <c r="T165" s="217">
        <v>0.30791157247213452</v>
      </c>
      <c r="U165" s="217">
        <v>0.30089692257291467</v>
      </c>
      <c r="V165" s="217">
        <v>0.29536982289238717</v>
      </c>
      <c r="W165" s="217">
        <v>0.29321624956701814</v>
      </c>
      <c r="X165" s="217">
        <v>0.29150388770090657</v>
      </c>
      <c r="Y165" s="252">
        <v>0.29026959871814911</v>
      </c>
      <c r="Z165" s="168">
        <f t="shared" si="73"/>
        <v>0.29195791518555403</v>
      </c>
      <c r="AA165" s="170">
        <f t="shared" si="74"/>
        <v>0.34642873145819919</v>
      </c>
      <c r="AB165" s="795">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796">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069">
        <f t="shared" si="81"/>
        <v>0</v>
      </c>
      <c r="AE165" s="1073">
        <f t="shared" si="78"/>
        <v>0.19400305410956475</v>
      </c>
      <c r="AF165" s="1074">
        <f t="shared" si="79"/>
        <v>0.29195791518555403</v>
      </c>
      <c r="AG165" s="1074">
        <f t="shared" si="80"/>
        <v>0.48596096929511878</v>
      </c>
      <c r="AH165" s="1015">
        <f t="shared" si="76"/>
        <v>0.39921529992617333</v>
      </c>
      <c r="AI165" s="1075">
        <f t="shared" si="77"/>
        <v>0.60078470007382667</v>
      </c>
      <c r="AJ165" s="99"/>
      <c r="AK165" s="99"/>
      <c r="AL165" s="99"/>
      <c r="AM165" s="99"/>
    </row>
    <row r="166" spans="1:39" ht="13.5" thickBot="1" x14ac:dyDescent="0.25">
      <c r="A166" s="200">
        <v>2045</v>
      </c>
      <c r="B166" s="218">
        <v>0.66228850176006737</v>
      </c>
      <c r="C166" s="219">
        <v>0.49237332433799158</v>
      </c>
      <c r="D166" s="219">
        <v>0.37151904395771423</v>
      </c>
      <c r="E166" s="219">
        <v>0.32653906238647284</v>
      </c>
      <c r="F166" s="219">
        <v>0.3065635515277626</v>
      </c>
      <c r="G166" s="219">
        <v>0.29839131967966825</v>
      </c>
      <c r="H166" s="219">
        <v>0.28759398286004406</v>
      </c>
      <c r="I166" s="219">
        <v>0.28541555091922149</v>
      </c>
      <c r="J166" s="219">
        <v>0.28368438478736174</v>
      </c>
      <c r="K166" s="219">
        <v>0.28243713351702232</v>
      </c>
      <c r="L166" s="253">
        <v>0.28243713351702232</v>
      </c>
      <c r="M166" s="182">
        <f t="shared" si="71"/>
        <v>0.18317120430953099</v>
      </c>
      <c r="N166" s="184">
        <f t="shared" si="72"/>
        <v>0.20653897052476358</v>
      </c>
      <c r="O166" s="218">
        <v>0.66571605962528557</v>
      </c>
      <c r="P166" s="219">
        <v>0.47987313683804711</v>
      </c>
      <c r="Q166" s="219">
        <v>0.3444448576536443</v>
      </c>
      <c r="R166" s="219">
        <v>0.31599842815061041</v>
      </c>
      <c r="S166" s="219">
        <v>0.3003059527067431</v>
      </c>
      <c r="T166" s="219">
        <v>0.29319078771856005</v>
      </c>
      <c r="U166" s="219">
        <v>0.28759398286004406</v>
      </c>
      <c r="V166" s="219">
        <v>0.28368438478736174</v>
      </c>
      <c r="W166" s="219">
        <v>0.28243713351702232</v>
      </c>
      <c r="X166" s="219">
        <v>0.28243713351702232</v>
      </c>
      <c r="Y166" s="253">
        <v>0.28174136902909391</v>
      </c>
      <c r="Z166" s="182">
        <f t="shared" si="73"/>
        <v>0.27468275707404916</v>
      </c>
      <c r="AA166" s="184">
        <f t="shared" si="74"/>
        <v>0.33280890210615138</v>
      </c>
      <c r="AB166" s="795">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796">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069">
        <f t="shared" si="81"/>
        <v>0</v>
      </c>
      <c r="AE166" s="1073">
        <f t="shared" si="78"/>
        <v>0.18317120430953099</v>
      </c>
      <c r="AF166" s="1074">
        <f t="shared" si="79"/>
        <v>0.27468275707404916</v>
      </c>
      <c r="AG166" s="1074">
        <f t="shared" si="80"/>
        <v>0.45785396138358014</v>
      </c>
      <c r="AH166" s="1015">
        <f t="shared" si="76"/>
        <v>0.40006469258452942</v>
      </c>
      <c r="AI166" s="1075">
        <f t="shared" si="77"/>
        <v>0.59993530741547063</v>
      </c>
      <c r="AJ166" s="99"/>
      <c r="AK166" s="99"/>
      <c r="AL166" s="99"/>
      <c r="AM166" s="99"/>
    </row>
    <row r="167" spans="1:39" x14ac:dyDescent="0.2">
      <c r="A167" s="201">
        <v>2046</v>
      </c>
      <c r="B167" s="214">
        <v>0.6447757063654086</v>
      </c>
      <c r="C167" s="215">
        <v>0.45280567977334096</v>
      </c>
      <c r="D167" s="215">
        <v>0.31953893559165469</v>
      </c>
      <c r="E167" s="215">
        <v>0.30546620432260413</v>
      </c>
      <c r="F167" s="215">
        <v>0.29258763643721114</v>
      </c>
      <c r="G167" s="215">
        <v>0.28576374010489025</v>
      </c>
      <c r="H167" s="215">
        <v>0.27950492050785219</v>
      </c>
      <c r="I167" s="215">
        <v>0.27776218798362834</v>
      </c>
      <c r="J167" s="215">
        <v>0.27650701234851327</v>
      </c>
      <c r="K167" s="215">
        <v>0.27580703359827963</v>
      </c>
      <c r="L167" s="251">
        <v>0.27580703359827963</v>
      </c>
      <c r="M167" s="154">
        <f t="shared" si="71"/>
        <v>0.16988463461411318</v>
      </c>
      <c r="N167" s="156">
        <f t="shared" si="72"/>
        <v>0.19491986299722716</v>
      </c>
      <c r="O167" s="214">
        <v>0.65858918244953835</v>
      </c>
      <c r="P167" s="215">
        <v>0.43231179011977938</v>
      </c>
      <c r="Q167" s="215">
        <v>0.30313735391607649</v>
      </c>
      <c r="R167" s="215">
        <v>0.29864316846641664</v>
      </c>
      <c r="S167" s="215">
        <v>0.28733965794716576</v>
      </c>
      <c r="T167" s="215">
        <v>0.2816987886733639</v>
      </c>
      <c r="U167" s="215">
        <v>0.27776218798362834</v>
      </c>
      <c r="V167" s="215">
        <v>0.27650701234851327</v>
      </c>
      <c r="W167" s="215">
        <v>0.27580703359827963</v>
      </c>
      <c r="X167" s="215">
        <v>0.27580703359827963</v>
      </c>
      <c r="Y167" s="251">
        <v>0.27560782337059475</v>
      </c>
      <c r="Z167" s="154">
        <f t="shared" si="73"/>
        <v>0.2558172435431893</v>
      </c>
      <c r="AA167" s="156">
        <f t="shared" si="74"/>
        <v>0.31619245206027008</v>
      </c>
      <c r="AB167" s="795">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796">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069">
        <f t="shared" si="81"/>
        <v>0</v>
      </c>
      <c r="AE167" s="1073">
        <f t="shared" si="78"/>
        <v>0.16988463461411318</v>
      </c>
      <c r="AF167" s="1074">
        <f t="shared" si="79"/>
        <v>0.2558172435431893</v>
      </c>
      <c r="AG167" s="1074">
        <f t="shared" si="80"/>
        <v>0.42570187815730248</v>
      </c>
      <c r="AH167" s="1015">
        <f t="shared" si="76"/>
        <v>0.39906949753070753</v>
      </c>
      <c r="AI167" s="1075">
        <f t="shared" si="77"/>
        <v>0.60093050246929247</v>
      </c>
      <c r="AJ167" s="99"/>
      <c r="AK167" s="99"/>
      <c r="AL167" s="99"/>
      <c r="AM167" s="99"/>
    </row>
    <row r="168" spans="1:39" x14ac:dyDescent="0.2">
      <c r="A168" s="202">
        <v>2047</v>
      </c>
      <c r="B168" s="216">
        <v>0.61846219787231049</v>
      </c>
      <c r="C168" s="217">
        <v>0.39804312196407476</v>
      </c>
      <c r="D168" s="217">
        <v>0.28370743537961512</v>
      </c>
      <c r="E168" s="217">
        <v>0.29032958226378397</v>
      </c>
      <c r="F168" s="217">
        <v>0.28310836119154215</v>
      </c>
      <c r="G168" s="217">
        <v>0.27744043871741442</v>
      </c>
      <c r="H168" s="217">
        <v>0.27348762296082918</v>
      </c>
      <c r="I168" s="217">
        <v>0.27222773773905723</v>
      </c>
      <c r="J168" s="217">
        <v>0.27152522983316318</v>
      </c>
      <c r="K168" s="217">
        <v>0.27132531296210083</v>
      </c>
      <c r="L168" s="252">
        <v>0.27132531296210083</v>
      </c>
      <c r="M168" s="168">
        <f t="shared" si="71"/>
        <v>0.15549822488879514</v>
      </c>
      <c r="N168" s="170">
        <f t="shared" si="72"/>
        <v>0.18066164037355265</v>
      </c>
      <c r="O168" s="216">
        <v>0.6314833488015773</v>
      </c>
      <c r="P168" s="217">
        <v>0.37773188596198892</v>
      </c>
      <c r="Q168" s="217">
        <v>0.2689482222474654</v>
      </c>
      <c r="R168" s="217">
        <v>0.28653357008619018</v>
      </c>
      <c r="S168" s="217">
        <v>0.28007115789281983</v>
      </c>
      <c r="T168" s="217">
        <v>0.27523726376481128</v>
      </c>
      <c r="U168" s="217">
        <v>0.27222773773905723</v>
      </c>
      <c r="V168" s="217">
        <v>0.27152522983316318</v>
      </c>
      <c r="W168" s="217">
        <v>0.27152522983316318</v>
      </c>
      <c r="X168" s="217">
        <v>0.27132531296210083</v>
      </c>
      <c r="Y168" s="252">
        <v>0.27132531296210083</v>
      </c>
      <c r="Z168" s="168">
        <f t="shared" si="73"/>
        <v>0.23396313570788846</v>
      </c>
      <c r="AA168" s="170">
        <f t="shared" si="74"/>
        <v>0.29284075611418181</v>
      </c>
      <c r="AB168" s="795">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796">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069">
        <f t="shared" si="81"/>
        <v>0</v>
      </c>
      <c r="AE168" s="1073">
        <f t="shared" si="78"/>
        <v>0.15549822488879514</v>
      </c>
      <c r="AF168" s="1074">
        <f t="shared" si="79"/>
        <v>0.23396313570788846</v>
      </c>
      <c r="AG168" s="1074">
        <f t="shared" si="80"/>
        <v>0.38946136059668357</v>
      </c>
      <c r="AH168" s="1015">
        <f t="shared" si="76"/>
        <v>0.39926483246132655</v>
      </c>
      <c r="AI168" s="1075">
        <f t="shared" si="77"/>
        <v>0.60073516753867351</v>
      </c>
      <c r="AJ168" s="99"/>
      <c r="AK168" s="99"/>
      <c r="AL168" s="99"/>
      <c r="AM168" s="99"/>
    </row>
    <row r="169" spans="1:39" x14ac:dyDescent="0.2">
      <c r="A169" s="202">
        <v>2048</v>
      </c>
      <c r="B169" s="216">
        <v>0.60587149584695776</v>
      </c>
      <c r="C169" s="217">
        <v>0.35626170267691987</v>
      </c>
      <c r="D169" s="217">
        <v>0.26057857207868601</v>
      </c>
      <c r="E169" s="217">
        <v>0.2835917870466651</v>
      </c>
      <c r="F169" s="217">
        <v>0.27585328637345152</v>
      </c>
      <c r="G169" s="217">
        <v>0.27226201918816817</v>
      </c>
      <c r="H169" s="217">
        <v>0.26924561891542814</v>
      </c>
      <c r="I169" s="217">
        <v>0.26854159595774091</v>
      </c>
      <c r="J169" s="217">
        <v>0.26834123330143073</v>
      </c>
      <c r="K169" s="217">
        <v>0.26834123330143073</v>
      </c>
      <c r="L169" s="252">
        <v>0.26834123330143073</v>
      </c>
      <c r="M169" s="168">
        <f t="shared" si="71"/>
        <v>0.14567878488755345</v>
      </c>
      <c r="N169" s="170">
        <f t="shared" si="72"/>
        <v>0.17131702033155427</v>
      </c>
      <c r="O169" s="216">
        <v>0.60587149584695776</v>
      </c>
      <c r="P169" s="217">
        <v>0.33966226375518854</v>
      </c>
      <c r="Q169" s="217">
        <v>0.24981026534832904</v>
      </c>
      <c r="R169" s="217">
        <v>0.28015513124984315</v>
      </c>
      <c r="S169" s="217">
        <v>0.27344468734828214</v>
      </c>
      <c r="T169" s="217">
        <v>0.27050828480628991</v>
      </c>
      <c r="U169" s="217">
        <v>0.26924561891542814</v>
      </c>
      <c r="V169" s="217">
        <v>0.26854159595774091</v>
      </c>
      <c r="W169" s="217">
        <v>0.26834123330143073</v>
      </c>
      <c r="X169" s="217">
        <v>0.26834123330143073</v>
      </c>
      <c r="Y169" s="252">
        <v>0.26834123330143073</v>
      </c>
      <c r="Z169" s="168">
        <f t="shared" si="73"/>
        <v>0.21846853395122778</v>
      </c>
      <c r="AA169" s="170">
        <f t="shared" si="74"/>
        <v>0.27498418389427065</v>
      </c>
      <c r="AB169" s="795">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796">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069">
        <f t="shared" si="81"/>
        <v>0</v>
      </c>
      <c r="AE169" s="1073">
        <f t="shared" si="78"/>
        <v>0.14567878488755345</v>
      </c>
      <c r="AF169" s="1074">
        <f t="shared" si="79"/>
        <v>0.21846853395122778</v>
      </c>
      <c r="AG169" s="1074">
        <f t="shared" si="80"/>
        <v>0.36414731883878126</v>
      </c>
      <c r="AH169" s="1015">
        <f t="shared" si="76"/>
        <v>0.40005453109500921</v>
      </c>
      <c r="AI169" s="1075">
        <f t="shared" si="77"/>
        <v>0.59994546890499068</v>
      </c>
      <c r="AJ169" s="99"/>
      <c r="AK169" s="99"/>
      <c r="AL169" s="99"/>
      <c r="AM169" s="99"/>
    </row>
    <row r="170" spans="1:39" x14ac:dyDescent="0.2">
      <c r="A170" s="202">
        <v>2049</v>
      </c>
      <c r="B170" s="216">
        <v>0.59291640117927824</v>
      </c>
      <c r="C170" s="217">
        <v>0.32488629863608298</v>
      </c>
      <c r="D170" s="217">
        <v>0.2484190093542045</v>
      </c>
      <c r="E170" s="217">
        <v>0.27812706987594071</v>
      </c>
      <c r="F170" s="217">
        <v>0.27140518961892313</v>
      </c>
      <c r="G170" s="217">
        <v>0.2684642746420749</v>
      </c>
      <c r="H170" s="217">
        <v>0.26649499038979152</v>
      </c>
      <c r="I170" s="217">
        <v>0.26649499038979152</v>
      </c>
      <c r="J170" s="217">
        <v>0.26629433936664887</v>
      </c>
      <c r="K170" s="217">
        <v>0.26629433936664887</v>
      </c>
      <c r="L170" s="252">
        <v>0.26629433936664887</v>
      </c>
      <c r="M170" s="168">
        <f t="shared" si="71"/>
        <v>0.1385180984203466</v>
      </c>
      <c r="N170" s="170">
        <f t="shared" si="72"/>
        <v>0.16398828172534613</v>
      </c>
      <c r="O170" s="216">
        <v>0.60492802674665125</v>
      </c>
      <c r="P170" s="217">
        <v>0.30888313469311346</v>
      </c>
      <c r="Q170" s="217">
        <v>0.23887847510710003</v>
      </c>
      <c r="R170" s="217">
        <v>0.2750749831295386</v>
      </c>
      <c r="S170" s="217">
        <v>0.27022047066064808</v>
      </c>
      <c r="T170" s="217">
        <v>0.26794557208686265</v>
      </c>
      <c r="U170" s="217">
        <v>0.26649499038979152</v>
      </c>
      <c r="V170" s="217">
        <v>0.26629433936664887</v>
      </c>
      <c r="W170" s="217">
        <v>0.26629433936664887</v>
      </c>
      <c r="X170" s="217">
        <v>0.26629433936664887</v>
      </c>
      <c r="Y170" s="252">
        <v>0.26629433936664887</v>
      </c>
      <c r="Z170" s="168">
        <f t="shared" si="73"/>
        <v>0.20864195701553018</v>
      </c>
      <c r="AA170" s="170">
        <f t="shared" si="74"/>
        <v>0.26617422437602611</v>
      </c>
      <c r="AB170" s="795">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796">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069">
        <f t="shared" si="81"/>
        <v>0</v>
      </c>
      <c r="AE170" s="1073">
        <f t="shared" si="78"/>
        <v>0.1385180984203466</v>
      </c>
      <c r="AF170" s="1074">
        <f t="shared" si="79"/>
        <v>0.20864195701553018</v>
      </c>
      <c r="AG170" s="1074">
        <f t="shared" si="80"/>
        <v>0.3471600554358768</v>
      </c>
      <c r="AH170" s="1015">
        <f t="shared" si="76"/>
        <v>0.39900356118571939</v>
      </c>
      <c r="AI170" s="1075">
        <f t="shared" si="77"/>
        <v>0.60099643881428055</v>
      </c>
      <c r="AJ170" s="99"/>
      <c r="AK170" s="99"/>
      <c r="AL170" s="99"/>
      <c r="AM170" s="99"/>
    </row>
    <row r="171" spans="1:39" ht="13.5" thickBot="1" x14ac:dyDescent="0.25">
      <c r="A171" s="200">
        <v>2050</v>
      </c>
      <c r="B171" s="218">
        <v>0.54380703064784452</v>
      </c>
      <c r="C171" s="219">
        <v>0.26873009973640244</v>
      </c>
      <c r="D171" s="219">
        <v>0.22536549050122465</v>
      </c>
      <c r="E171" s="219">
        <v>0.26724136720277347</v>
      </c>
      <c r="F171" s="219">
        <v>0.26429237510410231</v>
      </c>
      <c r="G171" s="219">
        <v>0.26302525011868189</v>
      </c>
      <c r="H171" s="219">
        <v>0.26211749723058747</v>
      </c>
      <c r="I171" s="219">
        <v>0.26211749723058747</v>
      </c>
      <c r="J171" s="219">
        <v>0.26211749723058747</v>
      </c>
      <c r="K171" s="219">
        <v>0.26211749723058747</v>
      </c>
      <c r="L171" s="253">
        <v>0.26211749723058747</v>
      </c>
      <c r="M171" s="182">
        <f t="shared" si="71"/>
        <v>0.12363268176835553</v>
      </c>
      <c r="N171" s="184">
        <f t="shared" si="72"/>
        <v>0.14651874149079824</v>
      </c>
      <c r="O171" s="218">
        <v>0.55401038348977438</v>
      </c>
      <c r="P171" s="219">
        <v>0.26033145639760719</v>
      </c>
      <c r="Q171" s="219">
        <v>0.22203088464835852</v>
      </c>
      <c r="R171" s="219">
        <v>0.26605269426816236</v>
      </c>
      <c r="S171" s="219">
        <v>0.26377304379157823</v>
      </c>
      <c r="T171" s="219">
        <v>0.26231869711968608</v>
      </c>
      <c r="U171" s="219">
        <v>0.26211749723058747</v>
      </c>
      <c r="V171" s="219">
        <v>0.26211749723058747</v>
      </c>
      <c r="W171" s="219">
        <v>0.26211749723058747</v>
      </c>
      <c r="X171" s="219">
        <v>0.26211749723058747</v>
      </c>
      <c r="Y171" s="253">
        <v>0.26211749723058747</v>
      </c>
      <c r="Z171" s="182">
        <f t="shared" si="73"/>
        <v>0.18738253150306639</v>
      </c>
      <c r="AA171" s="184">
        <f t="shared" si="74"/>
        <v>0.23875245547423138</v>
      </c>
      <c r="AB171" s="797">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798">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070">
        <f t="shared" si="81"/>
        <v>0</v>
      </c>
      <c r="AE171" s="1076">
        <f t="shared" si="78"/>
        <v>0.12363268176835553</v>
      </c>
      <c r="AF171" s="1077">
        <f t="shared" si="79"/>
        <v>0.18738253150306639</v>
      </c>
      <c r="AG171" s="1077">
        <f t="shared" si="80"/>
        <v>0.3110152132714219</v>
      </c>
      <c r="AH171" s="1078">
        <f t="shared" si="76"/>
        <v>0.39751329353931542</v>
      </c>
      <c r="AI171" s="1079">
        <f t="shared" si="77"/>
        <v>0.60248670646068458</v>
      </c>
      <c r="AJ171" s="99"/>
      <c r="AK171" s="99"/>
      <c r="AL171" s="99"/>
      <c r="AM171" s="99"/>
    </row>
    <row r="172" spans="1:39" x14ac:dyDescent="0.2">
      <c r="B172" s="99" t="s">
        <v>240</v>
      </c>
      <c r="O172" s="99" t="s">
        <v>240</v>
      </c>
      <c r="W172" s="195"/>
      <c r="X172" s="195"/>
      <c r="Y172" s="195"/>
      <c r="AJ172" s="99"/>
      <c r="AK172" s="99"/>
      <c r="AL172" s="99"/>
      <c r="AM172" s="99"/>
    </row>
    <row r="173" spans="1:39" ht="13.5" thickBot="1" x14ac:dyDescent="0.25">
      <c r="W173" s="195"/>
      <c r="X173" s="195"/>
      <c r="Y173" s="195"/>
      <c r="AI173" s="99"/>
      <c r="AJ173" s="99"/>
      <c r="AK173" s="99"/>
      <c r="AL173" s="99"/>
      <c r="AM173" s="99"/>
    </row>
    <row r="174" spans="1:39" ht="15" x14ac:dyDescent="0.25">
      <c r="A174" s="205"/>
      <c r="B174" s="460" t="s">
        <v>197</v>
      </c>
      <c r="C174" s="461"/>
      <c r="D174" s="461"/>
      <c r="E174" s="461"/>
      <c r="F174" s="461"/>
      <c r="G174" s="461"/>
      <c r="H174" s="461"/>
      <c r="I174" s="461"/>
      <c r="J174" s="461"/>
      <c r="K174" s="461"/>
      <c r="L174" s="461"/>
      <c r="M174" s="461"/>
      <c r="N174" s="462"/>
      <c r="O174" s="460" t="s">
        <v>198</v>
      </c>
      <c r="P174" s="461"/>
      <c r="Q174" s="461"/>
      <c r="R174" s="461"/>
      <c r="S174" s="461"/>
      <c r="T174" s="461"/>
      <c r="U174" s="461"/>
      <c r="V174" s="461"/>
      <c r="W174" s="461"/>
      <c r="X174" s="461"/>
      <c r="Y174" s="461"/>
      <c r="Z174" s="461"/>
      <c r="AA174" s="462"/>
      <c r="AI174" s="99"/>
      <c r="AJ174" s="99"/>
      <c r="AK174" s="99"/>
      <c r="AL174" s="99"/>
      <c r="AM174" s="99"/>
    </row>
    <row r="175" spans="1:39" x14ac:dyDescent="0.2">
      <c r="A175" s="196"/>
      <c r="B175" s="463" t="s">
        <v>121</v>
      </c>
      <c r="C175" s="464"/>
      <c r="D175" s="464"/>
      <c r="E175" s="464"/>
      <c r="F175" s="464"/>
      <c r="G175" s="464"/>
      <c r="H175" s="464"/>
      <c r="I175" s="464"/>
      <c r="J175" s="464"/>
      <c r="K175" s="464"/>
      <c r="L175" s="464"/>
      <c r="M175" s="254"/>
      <c r="N175" s="197"/>
      <c r="O175" s="463" t="s">
        <v>121</v>
      </c>
      <c r="P175" s="464"/>
      <c r="Q175" s="464"/>
      <c r="R175" s="464"/>
      <c r="S175" s="464"/>
      <c r="T175" s="464"/>
      <c r="U175" s="464"/>
      <c r="V175" s="464"/>
      <c r="W175" s="464"/>
      <c r="X175" s="464"/>
      <c r="Y175" s="464"/>
      <c r="Z175" s="254"/>
      <c r="AA175" s="197"/>
      <c r="AC175" s="801" t="s">
        <v>267</v>
      </c>
      <c r="AD175" s="106" t="b">
        <f>INDEX(TECH_OPT_FUEL2_Cls3,MATCH(RIGHT(O174),TECH_OPT_ROWS_Cls3,0))&lt;&gt;"N/A"</f>
        <v>0</v>
      </c>
      <c r="AI175" s="99"/>
      <c r="AJ175" s="99"/>
      <c r="AK175" s="99"/>
      <c r="AL175" s="99"/>
      <c r="AM175" s="99"/>
    </row>
    <row r="176" spans="1:39" ht="13.5" thickBot="1" x14ac:dyDescent="0.25">
      <c r="A176" s="203"/>
      <c r="B176" s="210" t="s">
        <v>28</v>
      </c>
      <c r="C176" s="211" t="s">
        <v>29</v>
      </c>
      <c r="D176" s="211" t="s">
        <v>30</v>
      </c>
      <c r="E176" s="211" t="s">
        <v>31</v>
      </c>
      <c r="F176" s="211" t="s">
        <v>32</v>
      </c>
      <c r="G176" s="211" t="s">
        <v>33</v>
      </c>
      <c r="H176" s="211" t="s">
        <v>34</v>
      </c>
      <c r="I176" s="211" t="s">
        <v>35</v>
      </c>
      <c r="J176" s="211" t="s">
        <v>36</v>
      </c>
      <c r="K176" s="211" t="s">
        <v>37</v>
      </c>
      <c r="L176" s="249" t="s">
        <v>38</v>
      </c>
      <c r="M176" s="255" t="s">
        <v>122</v>
      </c>
      <c r="N176" s="204" t="s">
        <v>123</v>
      </c>
      <c r="O176" s="210" t="s">
        <v>28</v>
      </c>
      <c r="P176" s="211" t="s">
        <v>29</v>
      </c>
      <c r="Q176" s="211" t="s">
        <v>30</v>
      </c>
      <c r="R176" s="211" t="s">
        <v>31</v>
      </c>
      <c r="S176" s="211" t="s">
        <v>32</v>
      </c>
      <c r="T176" s="211" t="s">
        <v>33</v>
      </c>
      <c r="U176" s="211" t="s">
        <v>34</v>
      </c>
      <c r="V176" s="211" t="s">
        <v>35</v>
      </c>
      <c r="W176" s="211" t="s">
        <v>36</v>
      </c>
      <c r="X176" s="211" t="s">
        <v>37</v>
      </c>
      <c r="Y176" s="249" t="s">
        <v>38</v>
      </c>
      <c r="Z176" s="255" t="s">
        <v>122</v>
      </c>
      <c r="AA176" s="204" t="s">
        <v>123</v>
      </c>
      <c r="AB176" s="783"/>
      <c r="AC176" s="801" t="s">
        <v>268</v>
      </c>
      <c r="AD176" s="106">
        <f>MATCH(RIGHT(O174),TECH_OPT_ROWS_Cls3,0)</f>
        <v>4</v>
      </c>
      <c r="AI176" s="99"/>
      <c r="AJ176" s="99"/>
      <c r="AK176" s="99"/>
      <c r="AL176" s="99"/>
      <c r="AM176" s="99"/>
    </row>
    <row r="177" spans="1:39" ht="14.25" thickTop="1" thickBot="1" x14ac:dyDescent="0.25">
      <c r="A177" s="220" t="s">
        <v>124</v>
      </c>
      <c r="B177" s="212">
        <f t="array" ref="B177:L177">TRANSPOSE(Cls3CentTruckShr)</f>
        <v>0.16490316390132354</v>
      </c>
      <c r="C177" s="213">
        <v>0.14150050624583405</v>
      </c>
      <c r="D177" s="213">
        <v>5.0842757108027201E-2</v>
      </c>
      <c r="E177" s="213">
        <v>1.7493235097392132E-2</v>
      </c>
      <c r="F177" s="213">
        <v>6.5645600537602268E-3</v>
      </c>
      <c r="G177" s="213">
        <v>1.3068268788829179E-4</v>
      </c>
      <c r="H177" s="213">
        <v>2.9863696966199553E-3</v>
      </c>
      <c r="I177" s="213">
        <v>0</v>
      </c>
      <c r="J177" s="213">
        <v>0</v>
      </c>
      <c r="K177" s="213">
        <v>5.0573390409248292E-4</v>
      </c>
      <c r="L177" s="250">
        <v>0</v>
      </c>
      <c r="M177" s="256"/>
      <c r="N177" s="208"/>
      <c r="O177" s="212">
        <f t="array" ref="O177:Y177">TRANSPOSE(Cls3NCentTruckShr)</f>
        <v>0.27324001996593789</v>
      </c>
      <c r="P177" s="213">
        <v>0.25610450783680394</v>
      </c>
      <c r="Q177" s="213">
        <v>4.6572125423937315E-2</v>
      </c>
      <c r="R177" s="213">
        <v>2.2779497082922668E-2</v>
      </c>
      <c r="S177" s="213">
        <v>5.0811779544371336E-3</v>
      </c>
      <c r="T177" s="213">
        <v>2.5955840495899339E-3</v>
      </c>
      <c r="U177" s="213">
        <v>4.3441677754441459E-3</v>
      </c>
      <c r="V177" s="213">
        <v>3.7558983870508854E-3</v>
      </c>
      <c r="W177" s="213">
        <v>4.897828379299261E-4</v>
      </c>
      <c r="X177" s="213">
        <v>0</v>
      </c>
      <c r="Y177" s="1052">
        <v>1.1022999100839563E-4</v>
      </c>
      <c r="Z177" s="1057"/>
      <c r="AA177" s="1058"/>
      <c r="AI177" s="99"/>
      <c r="AJ177" s="99"/>
      <c r="AK177" s="99"/>
      <c r="AL177" s="99"/>
      <c r="AM177" s="99"/>
    </row>
    <row r="178" spans="1:39" x14ac:dyDescent="0.2">
      <c r="A178" s="203" t="s">
        <v>125</v>
      </c>
      <c r="B178" s="770">
        <f t="array" ref="B178:L178">TRANSPOSE(Cls3CentVMTShr)</f>
        <v>7.4407503791532936E-2</v>
      </c>
      <c r="C178" s="771">
        <v>0.15052192967997111</v>
      </c>
      <c r="D178" s="771">
        <v>8.9028098283245441E-2</v>
      </c>
      <c r="E178" s="771">
        <v>4.5356257743642811E-2</v>
      </c>
      <c r="F178" s="771">
        <v>2.1016507050137231E-2</v>
      </c>
      <c r="G178" s="771">
        <v>4.9007047894213725E-4</v>
      </c>
      <c r="H178" s="771">
        <v>1.4797621296467818E-2</v>
      </c>
      <c r="I178" s="771">
        <v>0</v>
      </c>
      <c r="J178" s="771">
        <v>0</v>
      </c>
      <c r="K178" s="771">
        <v>3.7103078033661591E-3</v>
      </c>
      <c r="L178" s="1053">
        <v>0</v>
      </c>
      <c r="M178" s="1054"/>
      <c r="N178" s="1055"/>
      <c r="O178" s="770">
        <f t="array" ref="O178:Y178">TRANSPOSE(Cls3NCentVMTShr)</f>
        <v>0.11481596497083862</v>
      </c>
      <c r="P178" s="771">
        <v>0.26987209279577573</v>
      </c>
      <c r="Q178" s="771">
        <v>8.3836105982992667E-2</v>
      </c>
      <c r="R178" s="771">
        <v>5.9842896537765707E-2</v>
      </c>
      <c r="S178" s="771">
        <v>1.6413649143963899E-2</v>
      </c>
      <c r="T178" s="771">
        <v>1.0165768727376887E-2</v>
      </c>
      <c r="U178" s="771">
        <v>2.0700108148562976E-2</v>
      </c>
      <c r="V178" s="771">
        <v>2.0956833812228508E-2</v>
      </c>
      <c r="W178" s="771">
        <v>3.1584958359553582E-3</v>
      </c>
      <c r="X178" s="771">
        <v>0</v>
      </c>
      <c r="Y178" s="772">
        <v>9.0978791723388369E-4</v>
      </c>
      <c r="Z178" s="1054"/>
      <c r="AA178" s="1055"/>
      <c r="AB178" s="1552" t="str">
        <f>"% of miles on f2 for Tech "&amp; RIGHT(O173)&amp;" adopters"</f>
        <v>% of miles on f2 for Tech  adopters</v>
      </c>
      <c r="AC178" s="1553"/>
      <c r="AD178" s="1554"/>
      <c r="AE178" s="1080" t="s">
        <v>295</v>
      </c>
      <c r="AF178" s="1081"/>
      <c r="AG178" s="1081"/>
      <c r="AH178" s="1071" t="s">
        <v>294</v>
      </c>
      <c r="AI178" s="1072"/>
      <c r="AJ178" s="99"/>
      <c r="AK178" s="99"/>
      <c r="AL178" s="99"/>
      <c r="AM178" s="99"/>
    </row>
    <row r="179" spans="1:39" ht="13.5" thickBot="1" x14ac:dyDescent="0.25">
      <c r="A179" s="789" t="s">
        <v>266</v>
      </c>
      <c r="B179" s="780">
        <f t="array" ref="B179:L179">TRANSPOSE(Cls3CentVMT/OPDAYS_Cls3)</f>
        <v>49.202805162026571</v>
      </c>
      <c r="C179" s="781">
        <v>115.99623692884222</v>
      </c>
      <c r="D179" s="781">
        <v>190.94140758026836</v>
      </c>
      <c r="E179" s="781">
        <v>282.72824571583544</v>
      </c>
      <c r="F179" s="781">
        <v>349.10577157713089</v>
      </c>
      <c r="G179" s="781">
        <v>408.92399999999998</v>
      </c>
      <c r="H179" s="781">
        <v>540.31926836851005</v>
      </c>
      <c r="I179" s="781">
        <v>600</v>
      </c>
      <c r="J179" s="781">
        <v>680</v>
      </c>
      <c r="K179" s="781">
        <v>800.00000000000011</v>
      </c>
      <c r="L179" s="782">
        <v>800</v>
      </c>
      <c r="M179" s="778"/>
      <c r="N179" s="779"/>
      <c r="O179" s="780">
        <f t="array" ref="O179:Y179">TRANSPOSE(Cls3NCentVMT/OPDAYS_Cls3)</f>
        <v>45.820527909508108</v>
      </c>
      <c r="P179" s="781">
        <v>114.90604343518244</v>
      </c>
      <c r="Q179" s="781">
        <v>196.29405935940918</v>
      </c>
      <c r="R179" s="781">
        <v>286.46435582159182</v>
      </c>
      <c r="S179" s="781">
        <v>352.24339419308075</v>
      </c>
      <c r="T179" s="781">
        <v>427.07804424634116</v>
      </c>
      <c r="U179" s="781">
        <v>519.59880241076587</v>
      </c>
      <c r="V179" s="781">
        <v>608.4346682070543</v>
      </c>
      <c r="W179" s="781">
        <v>703.2</v>
      </c>
      <c r="X179" s="781">
        <v>760</v>
      </c>
      <c r="Y179" s="1056">
        <v>900</v>
      </c>
      <c r="Z179" s="790"/>
      <c r="AA179" s="779"/>
      <c r="AB179" s="792" t="s">
        <v>186</v>
      </c>
      <c r="AC179" s="793" t="s">
        <v>15</v>
      </c>
      <c r="AD179" s="794" t="s">
        <v>18</v>
      </c>
      <c r="AE179" s="202" t="s">
        <v>186</v>
      </c>
      <c r="AF179" s="1082" t="s">
        <v>15</v>
      </c>
      <c r="AG179" s="1082" t="s">
        <v>18</v>
      </c>
      <c r="AH179" s="1083" t="s">
        <v>186</v>
      </c>
      <c r="AI179" s="1084" t="s">
        <v>15</v>
      </c>
    </row>
    <row r="180" spans="1:39" ht="13.5" thickTop="1" x14ac:dyDescent="0.2">
      <c r="A180" s="198">
        <v>2007</v>
      </c>
      <c r="B180" s="214">
        <v>0</v>
      </c>
      <c r="C180" s="215">
        <v>0</v>
      </c>
      <c r="D180" s="215">
        <v>0</v>
      </c>
      <c r="E180" s="215">
        <v>0</v>
      </c>
      <c r="F180" s="215">
        <v>0</v>
      </c>
      <c r="G180" s="215">
        <v>0</v>
      </c>
      <c r="H180" s="215">
        <v>0</v>
      </c>
      <c r="I180" s="215">
        <v>0</v>
      </c>
      <c r="J180" s="215">
        <v>0</v>
      </c>
      <c r="K180" s="215">
        <v>0</v>
      </c>
      <c r="L180" s="251">
        <v>0</v>
      </c>
      <c r="M180" s="154">
        <f>SUMPRODUCT(B180:L180,$B$178:$L$178)</f>
        <v>0</v>
      </c>
      <c r="N180" s="154">
        <f>SUMPRODUCT(B180:L180,$B$177:$L$177)</f>
        <v>0</v>
      </c>
      <c r="O180" s="214">
        <v>0</v>
      </c>
      <c r="P180" s="215">
        <v>0</v>
      </c>
      <c r="Q180" s="215">
        <v>0</v>
      </c>
      <c r="R180" s="215">
        <v>0</v>
      </c>
      <c r="S180" s="215">
        <v>0</v>
      </c>
      <c r="T180" s="215">
        <v>0</v>
      </c>
      <c r="U180" s="215">
        <v>0</v>
      </c>
      <c r="V180" s="215">
        <v>0</v>
      </c>
      <c r="W180" s="215">
        <v>0</v>
      </c>
      <c r="X180" s="215">
        <v>0</v>
      </c>
      <c r="Y180" s="251">
        <v>0</v>
      </c>
      <c r="Z180" s="259">
        <f>SUMPRODUCT(O180:Y180,$O$178:$Y$178)</f>
        <v>0</v>
      </c>
      <c r="AA180" s="156">
        <f>SUMPRODUCT(O180:Y180,$O$177:$Y$177)</f>
        <v>0</v>
      </c>
      <c r="AB180" s="795">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796">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069">
        <f>AB180*AH180+AC180*AI180</f>
        <v>0</v>
      </c>
      <c r="AE180" s="1073">
        <f t="shared" ref="AE180:AE194" si="82">SUMPRODUCT($B$74:$L$74,B180:L180)</f>
        <v>0</v>
      </c>
      <c r="AF180" s="1074">
        <f t="shared" ref="AF180:AF194" si="83">SUMPRODUCT($O$74:$Y$74,O180:Y180)</f>
        <v>0</v>
      </c>
      <c r="AG180" s="1074">
        <f t="shared" ref="AG180:AG194" si="84">SUM(AE180:AF180)</f>
        <v>0</v>
      </c>
      <c r="AH180" s="1015">
        <f>IF(AG180&gt;0,AE180/AG180,0)</f>
        <v>0</v>
      </c>
      <c r="AI180" s="1075">
        <f>IF(AG180&gt;0,AF180/AG180,0)</f>
        <v>0</v>
      </c>
      <c r="AJ180" s="99"/>
      <c r="AK180" s="99"/>
      <c r="AL180" s="99"/>
      <c r="AM180" s="99"/>
    </row>
    <row r="181" spans="1:39" x14ac:dyDescent="0.2">
      <c r="A181" s="199">
        <v>2008</v>
      </c>
      <c r="B181" s="216">
        <v>0</v>
      </c>
      <c r="C181" s="217">
        <v>0</v>
      </c>
      <c r="D181" s="217">
        <v>0</v>
      </c>
      <c r="E181" s="217">
        <v>0</v>
      </c>
      <c r="F181" s="217">
        <v>0</v>
      </c>
      <c r="G181" s="217">
        <v>0</v>
      </c>
      <c r="H181" s="217">
        <v>0</v>
      </c>
      <c r="I181" s="217">
        <v>0</v>
      </c>
      <c r="J181" s="217">
        <v>0</v>
      </c>
      <c r="K181" s="217">
        <v>0</v>
      </c>
      <c r="L181" s="252">
        <v>0</v>
      </c>
      <c r="M181" s="168">
        <f t="shared" ref="M181:M223" si="85">SUMPRODUCT(B181:L181,$B$178:$L$178)</f>
        <v>0</v>
      </c>
      <c r="N181" s="170">
        <f t="shared" ref="N181:N223" si="86">SUMPRODUCT(B181:L181,$B$177:$L$177)</f>
        <v>0</v>
      </c>
      <c r="O181" s="216">
        <v>0</v>
      </c>
      <c r="P181" s="217">
        <v>0</v>
      </c>
      <c r="Q181" s="217">
        <v>0</v>
      </c>
      <c r="R181" s="217">
        <v>0</v>
      </c>
      <c r="S181" s="217">
        <v>0</v>
      </c>
      <c r="T181" s="217">
        <v>0</v>
      </c>
      <c r="U181" s="217">
        <v>0</v>
      </c>
      <c r="V181" s="217">
        <v>0</v>
      </c>
      <c r="W181" s="217">
        <v>0</v>
      </c>
      <c r="X181" s="217">
        <v>0</v>
      </c>
      <c r="Y181" s="252">
        <v>0</v>
      </c>
      <c r="Z181" s="168">
        <f t="shared" ref="Z181:Z223" si="87">SUMPRODUCT(O181:Y181,$O$178:$Y$178)</f>
        <v>0</v>
      </c>
      <c r="AA181" s="170">
        <f t="shared" ref="AA181:AA223" si="88">SUMPRODUCT(O181:Y181,$O$177:$Y$177)</f>
        <v>0</v>
      </c>
      <c r="AB181" s="795">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796">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069">
        <f t="shared" ref="AD181:AD205" si="89">AB181*AH181+AC181*AI181</f>
        <v>0</v>
      </c>
      <c r="AE181" s="1073">
        <f t="shared" si="82"/>
        <v>0</v>
      </c>
      <c r="AF181" s="1074">
        <f t="shared" si="83"/>
        <v>0</v>
      </c>
      <c r="AG181" s="1074">
        <f t="shared" si="84"/>
        <v>0</v>
      </c>
      <c r="AH181" s="1015">
        <f t="shared" ref="AH181:AH223" si="90">IF(AG181&gt;0,AE181/AG181,0)</f>
        <v>0</v>
      </c>
      <c r="AI181" s="1075">
        <f t="shared" ref="AI181:AI223" si="91">IF(AG181&gt;0,AF181/AG181,0)</f>
        <v>0</v>
      </c>
      <c r="AJ181" s="99"/>
      <c r="AK181" s="99"/>
      <c r="AL181" s="99"/>
      <c r="AM181" s="99"/>
    </row>
    <row r="182" spans="1:39" x14ac:dyDescent="0.2">
      <c r="A182" s="199">
        <v>2009</v>
      </c>
      <c r="B182" s="216">
        <v>0</v>
      </c>
      <c r="C182" s="217">
        <v>0</v>
      </c>
      <c r="D182" s="217">
        <v>0</v>
      </c>
      <c r="E182" s="217">
        <v>0</v>
      </c>
      <c r="F182" s="217">
        <v>0</v>
      </c>
      <c r="G182" s="217">
        <v>0</v>
      </c>
      <c r="H182" s="217">
        <v>0</v>
      </c>
      <c r="I182" s="217">
        <v>0</v>
      </c>
      <c r="J182" s="217">
        <v>0</v>
      </c>
      <c r="K182" s="217">
        <v>0</v>
      </c>
      <c r="L182" s="252">
        <v>0</v>
      </c>
      <c r="M182" s="168">
        <f t="shared" si="85"/>
        <v>0</v>
      </c>
      <c r="N182" s="170">
        <f t="shared" si="86"/>
        <v>0</v>
      </c>
      <c r="O182" s="216">
        <v>0</v>
      </c>
      <c r="P182" s="217">
        <v>0</v>
      </c>
      <c r="Q182" s="217">
        <v>0</v>
      </c>
      <c r="R182" s="217">
        <v>0</v>
      </c>
      <c r="S182" s="217">
        <v>0</v>
      </c>
      <c r="T182" s="217">
        <v>0</v>
      </c>
      <c r="U182" s="217">
        <v>0</v>
      </c>
      <c r="V182" s="217">
        <v>0</v>
      </c>
      <c r="W182" s="217">
        <v>0</v>
      </c>
      <c r="X182" s="217">
        <v>0</v>
      </c>
      <c r="Y182" s="252">
        <v>0</v>
      </c>
      <c r="Z182" s="168">
        <f t="shared" si="87"/>
        <v>0</v>
      </c>
      <c r="AA182" s="170">
        <f t="shared" si="88"/>
        <v>0</v>
      </c>
      <c r="AB182" s="795">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796">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069">
        <f t="shared" si="89"/>
        <v>0</v>
      </c>
      <c r="AE182" s="1073">
        <f t="shared" si="82"/>
        <v>0</v>
      </c>
      <c r="AF182" s="1074">
        <f t="shared" si="83"/>
        <v>0</v>
      </c>
      <c r="AG182" s="1074">
        <f t="shared" si="84"/>
        <v>0</v>
      </c>
      <c r="AH182" s="1015">
        <f t="shared" si="90"/>
        <v>0</v>
      </c>
      <c r="AI182" s="1075">
        <f t="shared" si="91"/>
        <v>0</v>
      </c>
      <c r="AJ182" s="99"/>
      <c r="AK182" s="99"/>
      <c r="AL182" s="99"/>
      <c r="AM182" s="99"/>
    </row>
    <row r="183" spans="1:39" ht="13.5" thickBot="1" x14ac:dyDescent="0.25">
      <c r="A183" s="200">
        <v>2010</v>
      </c>
      <c r="B183" s="218">
        <v>0</v>
      </c>
      <c r="C183" s="219">
        <v>0</v>
      </c>
      <c r="D183" s="219">
        <v>0</v>
      </c>
      <c r="E183" s="219">
        <v>0</v>
      </c>
      <c r="F183" s="219">
        <v>0</v>
      </c>
      <c r="G183" s="219">
        <v>0</v>
      </c>
      <c r="H183" s="219">
        <v>0</v>
      </c>
      <c r="I183" s="219">
        <v>0</v>
      </c>
      <c r="J183" s="219">
        <v>0</v>
      </c>
      <c r="K183" s="219">
        <v>0</v>
      </c>
      <c r="L183" s="253">
        <v>0</v>
      </c>
      <c r="M183" s="182">
        <f t="shared" si="85"/>
        <v>0</v>
      </c>
      <c r="N183" s="184">
        <f t="shared" si="86"/>
        <v>0</v>
      </c>
      <c r="O183" s="218">
        <v>0</v>
      </c>
      <c r="P183" s="219">
        <v>0</v>
      </c>
      <c r="Q183" s="219">
        <v>0</v>
      </c>
      <c r="R183" s="219">
        <v>0</v>
      </c>
      <c r="S183" s="219">
        <v>0</v>
      </c>
      <c r="T183" s="219">
        <v>0</v>
      </c>
      <c r="U183" s="219">
        <v>0</v>
      </c>
      <c r="V183" s="219">
        <v>0</v>
      </c>
      <c r="W183" s="219">
        <v>0</v>
      </c>
      <c r="X183" s="219">
        <v>0</v>
      </c>
      <c r="Y183" s="253">
        <v>0</v>
      </c>
      <c r="Z183" s="182">
        <f t="shared" si="87"/>
        <v>0</v>
      </c>
      <c r="AA183" s="184">
        <f t="shared" si="88"/>
        <v>0</v>
      </c>
      <c r="AB183" s="795">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796">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069">
        <f t="shared" si="89"/>
        <v>0</v>
      </c>
      <c r="AE183" s="1073">
        <f t="shared" si="82"/>
        <v>0</v>
      </c>
      <c r="AF183" s="1074">
        <f t="shared" si="83"/>
        <v>0</v>
      </c>
      <c r="AG183" s="1074">
        <f t="shared" si="84"/>
        <v>0</v>
      </c>
      <c r="AH183" s="1015">
        <f t="shared" si="90"/>
        <v>0</v>
      </c>
      <c r="AI183" s="1075">
        <f t="shared" si="91"/>
        <v>0</v>
      </c>
      <c r="AJ183" s="99"/>
      <c r="AK183" s="99"/>
      <c r="AL183" s="99"/>
      <c r="AM183" s="99"/>
    </row>
    <row r="184" spans="1:39" x14ac:dyDescent="0.2">
      <c r="A184" s="201">
        <v>2011</v>
      </c>
      <c r="B184" s="214">
        <v>0</v>
      </c>
      <c r="C184" s="215">
        <v>0</v>
      </c>
      <c r="D184" s="215">
        <v>0</v>
      </c>
      <c r="E184" s="215">
        <v>0</v>
      </c>
      <c r="F184" s="215">
        <v>0</v>
      </c>
      <c r="G184" s="215">
        <v>0</v>
      </c>
      <c r="H184" s="215">
        <v>0</v>
      </c>
      <c r="I184" s="215">
        <v>0</v>
      </c>
      <c r="J184" s="215">
        <v>0</v>
      </c>
      <c r="K184" s="215">
        <v>0</v>
      </c>
      <c r="L184" s="251">
        <v>0</v>
      </c>
      <c r="M184" s="154">
        <f t="shared" si="85"/>
        <v>0</v>
      </c>
      <c r="N184" s="156">
        <f t="shared" si="86"/>
        <v>0</v>
      </c>
      <c r="O184" s="214">
        <v>0</v>
      </c>
      <c r="P184" s="215">
        <v>0</v>
      </c>
      <c r="Q184" s="215">
        <v>0</v>
      </c>
      <c r="R184" s="215">
        <v>0</v>
      </c>
      <c r="S184" s="215">
        <v>0</v>
      </c>
      <c r="T184" s="215">
        <v>0</v>
      </c>
      <c r="U184" s="215">
        <v>0</v>
      </c>
      <c r="V184" s="215">
        <v>0</v>
      </c>
      <c r="W184" s="215">
        <v>0</v>
      </c>
      <c r="X184" s="215">
        <v>0</v>
      </c>
      <c r="Y184" s="251">
        <v>0</v>
      </c>
      <c r="Z184" s="154">
        <f t="shared" si="87"/>
        <v>0</v>
      </c>
      <c r="AA184" s="156">
        <f t="shared" si="88"/>
        <v>0</v>
      </c>
      <c r="AB184" s="795">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796">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069">
        <f t="shared" si="89"/>
        <v>0</v>
      </c>
      <c r="AE184" s="1073">
        <f t="shared" si="82"/>
        <v>0</v>
      </c>
      <c r="AF184" s="1074">
        <f t="shared" si="83"/>
        <v>0</v>
      </c>
      <c r="AG184" s="1074">
        <f t="shared" si="84"/>
        <v>0</v>
      </c>
      <c r="AH184" s="1015">
        <f t="shared" si="90"/>
        <v>0</v>
      </c>
      <c r="AI184" s="1075">
        <f t="shared" si="91"/>
        <v>0</v>
      </c>
      <c r="AJ184" s="99"/>
      <c r="AK184" s="99"/>
      <c r="AL184" s="99"/>
      <c r="AM184" s="99"/>
    </row>
    <row r="185" spans="1:39" x14ac:dyDescent="0.2">
      <c r="A185" s="202">
        <v>2012</v>
      </c>
      <c r="B185" s="216">
        <v>0</v>
      </c>
      <c r="C185" s="217">
        <v>0</v>
      </c>
      <c r="D185" s="217">
        <v>0</v>
      </c>
      <c r="E185" s="217">
        <v>0</v>
      </c>
      <c r="F185" s="217">
        <v>0</v>
      </c>
      <c r="G185" s="217">
        <v>0</v>
      </c>
      <c r="H185" s="217">
        <v>0</v>
      </c>
      <c r="I185" s="217">
        <v>0</v>
      </c>
      <c r="J185" s="217">
        <v>0</v>
      </c>
      <c r="K185" s="217">
        <v>0</v>
      </c>
      <c r="L185" s="252">
        <v>0</v>
      </c>
      <c r="M185" s="168">
        <f t="shared" si="85"/>
        <v>0</v>
      </c>
      <c r="N185" s="170">
        <f t="shared" si="86"/>
        <v>0</v>
      </c>
      <c r="O185" s="216">
        <v>0</v>
      </c>
      <c r="P185" s="217">
        <v>0</v>
      </c>
      <c r="Q185" s="217">
        <v>0</v>
      </c>
      <c r="R185" s="217">
        <v>0</v>
      </c>
      <c r="S185" s="217">
        <v>0</v>
      </c>
      <c r="T185" s="217">
        <v>0</v>
      </c>
      <c r="U185" s="217">
        <v>0</v>
      </c>
      <c r="V185" s="217">
        <v>0</v>
      </c>
      <c r="W185" s="217">
        <v>0</v>
      </c>
      <c r="X185" s="217">
        <v>0</v>
      </c>
      <c r="Y185" s="252">
        <v>0</v>
      </c>
      <c r="Z185" s="168">
        <f t="shared" si="87"/>
        <v>0</v>
      </c>
      <c r="AA185" s="170">
        <f t="shared" si="88"/>
        <v>0</v>
      </c>
      <c r="AB185" s="795">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796">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069">
        <f t="shared" si="89"/>
        <v>0</v>
      </c>
      <c r="AE185" s="1073">
        <f t="shared" si="82"/>
        <v>0</v>
      </c>
      <c r="AF185" s="1074">
        <f t="shared" si="83"/>
        <v>0</v>
      </c>
      <c r="AG185" s="1074">
        <f t="shared" si="84"/>
        <v>0</v>
      </c>
      <c r="AH185" s="1015">
        <f t="shared" si="90"/>
        <v>0</v>
      </c>
      <c r="AI185" s="1075">
        <f t="shared" si="91"/>
        <v>0</v>
      </c>
      <c r="AJ185" s="99"/>
      <c r="AK185" s="99"/>
      <c r="AL185" s="99"/>
      <c r="AM185" s="99"/>
    </row>
    <row r="186" spans="1:39" x14ac:dyDescent="0.2">
      <c r="A186" s="202">
        <v>2013</v>
      </c>
      <c r="B186" s="216">
        <v>0</v>
      </c>
      <c r="C186" s="217">
        <v>0</v>
      </c>
      <c r="D186" s="217">
        <v>0</v>
      </c>
      <c r="E186" s="217">
        <v>0</v>
      </c>
      <c r="F186" s="217">
        <v>0</v>
      </c>
      <c r="G186" s="217">
        <v>0</v>
      </c>
      <c r="H186" s="217">
        <v>0</v>
      </c>
      <c r="I186" s="217">
        <v>0</v>
      </c>
      <c r="J186" s="217">
        <v>0</v>
      </c>
      <c r="K186" s="217">
        <v>0</v>
      </c>
      <c r="L186" s="252">
        <v>0</v>
      </c>
      <c r="M186" s="168">
        <f t="shared" si="85"/>
        <v>0</v>
      </c>
      <c r="N186" s="170">
        <f t="shared" si="86"/>
        <v>0</v>
      </c>
      <c r="O186" s="216">
        <v>0</v>
      </c>
      <c r="P186" s="217">
        <v>0</v>
      </c>
      <c r="Q186" s="217">
        <v>0</v>
      </c>
      <c r="R186" s="217">
        <v>0</v>
      </c>
      <c r="S186" s="217">
        <v>0</v>
      </c>
      <c r="T186" s="217">
        <v>0</v>
      </c>
      <c r="U186" s="217">
        <v>0</v>
      </c>
      <c r="V186" s="217">
        <v>0</v>
      </c>
      <c r="W186" s="217">
        <v>0</v>
      </c>
      <c r="X186" s="217">
        <v>0</v>
      </c>
      <c r="Y186" s="252">
        <v>0</v>
      </c>
      <c r="Z186" s="168">
        <f t="shared" si="87"/>
        <v>0</v>
      </c>
      <c r="AA186" s="170">
        <f t="shared" si="88"/>
        <v>0</v>
      </c>
      <c r="AB186" s="795">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796">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069">
        <f t="shared" si="89"/>
        <v>0</v>
      </c>
      <c r="AE186" s="1073">
        <f t="shared" si="82"/>
        <v>0</v>
      </c>
      <c r="AF186" s="1074">
        <f t="shared" si="83"/>
        <v>0</v>
      </c>
      <c r="AG186" s="1074">
        <f t="shared" si="84"/>
        <v>0</v>
      </c>
      <c r="AH186" s="1015">
        <f t="shared" si="90"/>
        <v>0</v>
      </c>
      <c r="AI186" s="1075">
        <f t="shared" si="91"/>
        <v>0</v>
      </c>
      <c r="AJ186" s="99"/>
      <c r="AK186" s="99"/>
      <c r="AL186" s="99"/>
      <c r="AM186" s="99"/>
    </row>
    <row r="187" spans="1:39" x14ac:dyDescent="0.2">
      <c r="A187" s="202">
        <v>2014</v>
      </c>
      <c r="B187" s="216">
        <v>0</v>
      </c>
      <c r="C187" s="217">
        <v>0</v>
      </c>
      <c r="D187" s="217">
        <v>0</v>
      </c>
      <c r="E187" s="217">
        <v>0</v>
      </c>
      <c r="F187" s="217">
        <v>0</v>
      </c>
      <c r="G187" s="217">
        <v>0</v>
      </c>
      <c r="H187" s="217">
        <v>0</v>
      </c>
      <c r="I187" s="217">
        <v>0</v>
      </c>
      <c r="J187" s="217">
        <v>0</v>
      </c>
      <c r="K187" s="217">
        <v>0</v>
      </c>
      <c r="L187" s="252">
        <v>0</v>
      </c>
      <c r="M187" s="168">
        <f t="shared" si="85"/>
        <v>0</v>
      </c>
      <c r="N187" s="170">
        <f t="shared" si="86"/>
        <v>0</v>
      </c>
      <c r="O187" s="216">
        <v>0</v>
      </c>
      <c r="P187" s="217">
        <v>0</v>
      </c>
      <c r="Q187" s="217">
        <v>0</v>
      </c>
      <c r="R187" s="217">
        <v>0</v>
      </c>
      <c r="S187" s="217">
        <v>0</v>
      </c>
      <c r="T187" s="217">
        <v>0</v>
      </c>
      <c r="U187" s="217">
        <v>0</v>
      </c>
      <c r="V187" s="217">
        <v>0</v>
      </c>
      <c r="W187" s="217">
        <v>0</v>
      </c>
      <c r="X187" s="217">
        <v>0</v>
      </c>
      <c r="Y187" s="252">
        <v>0</v>
      </c>
      <c r="Z187" s="168">
        <f t="shared" si="87"/>
        <v>0</v>
      </c>
      <c r="AA187" s="170">
        <f t="shared" si="88"/>
        <v>0</v>
      </c>
      <c r="AB187" s="795">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796">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069">
        <f t="shared" si="89"/>
        <v>0</v>
      </c>
      <c r="AE187" s="1073">
        <f t="shared" si="82"/>
        <v>0</v>
      </c>
      <c r="AF187" s="1074">
        <f t="shared" si="83"/>
        <v>0</v>
      </c>
      <c r="AG187" s="1074">
        <f t="shared" si="84"/>
        <v>0</v>
      </c>
      <c r="AH187" s="1015">
        <f t="shared" si="90"/>
        <v>0</v>
      </c>
      <c r="AI187" s="1075">
        <f t="shared" si="91"/>
        <v>0</v>
      </c>
      <c r="AJ187" s="99"/>
      <c r="AK187" s="99"/>
      <c r="AL187" s="99"/>
      <c r="AM187" s="99"/>
    </row>
    <row r="188" spans="1:39" ht="13.5" thickBot="1" x14ac:dyDescent="0.25">
      <c r="A188" s="200">
        <v>2015</v>
      </c>
      <c r="B188" s="218">
        <v>0</v>
      </c>
      <c r="C188" s="219">
        <v>0</v>
      </c>
      <c r="D188" s="219">
        <v>0</v>
      </c>
      <c r="E188" s="219">
        <v>0</v>
      </c>
      <c r="F188" s="219">
        <v>0</v>
      </c>
      <c r="G188" s="219">
        <v>0</v>
      </c>
      <c r="H188" s="219">
        <v>0</v>
      </c>
      <c r="I188" s="219">
        <v>0</v>
      </c>
      <c r="J188" s="219">
        <v>0</v>
      </c>
      <c r="K188" s="219">
        <v>0</v>
      </c>
      <c r="L188" s="253">
        <v>0</v>
      </c>
      <c r="M188" s="182">
        <f t="shared" si="85"/>
        <v>0</v>
      </c>
      <c r="N188" s="184">
        <f t="shared" si="86"/>
        <v>0</v>
      </c>
      <c r="O188" s="218">
        <v>0</v>
      </c>
      <c r="P188" s="219">
        <v>0</v>
      </c>
      <c r="Q188" s="219">
        <v>0</v>
      </c>
      <c r="R188" s="219">
        <v>0</v>
      </c>
      <c r="S188" s="219">
        <v>0</v>
      </c>
      <c r="T188" s="219">
        <v>0</v>
      </c>
      <c r="U188" s="219">
        <v>0</v>
      </c>
      <c r="V188" s="219">
        <v>0</v>
      </c>
      <c r="W188" s="219">
        <v>0</v>
      </c>
      <c r="X188" s="219">
        <v>0</v>
      </c>
      <c r="Y188" s="253">
        <v>0</v>
      </c>
      <c r="Z188" s="182">
        <f t="shared" si="87"/>
        <v>0</v>
      </c>
      <c r="AA188" s="184">
        <f t="shared" si="88"/>
        <v>0</v>
      </c>
      <c r="AB188" s="795">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796">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069">
        <f t="shared" si="89"/>
        <v>0</v>
      </c>
      <c r="AE188" s="1073">
        <f t="shared" si="82"/>
        <v>0</v>
      </c>
      <c r="AF188" s="1074">
        <f t="shared" si="83"/>
        <v>0</v>
      </c>
      <c r="AG188" s="1074">
        <f t="shared" si="84"/>
        <v>0</v>
      </c>
      <c r="AH188" s="1015">
        <f t="shared" si="90"/>
        <v>0</v>
      </c>
      <c r="AI188" s="1075">
        <f t="shared" si="91"/>
        <v>0</v>
      </c>
      <c r="AJ188" s="99"/>
      <c r="AK188" s="99"/>
      <c r="AL188" s="99"/>
      <c r="AM188" s="99"/>
    </row>
    <row r="189" spans="1:39" x14ac:dyDescent="0.2">
      <c r="A189" s="201">
        <v>2016</v>
      </c>
      <c r="B189" s="214">
        <v>0</v>
      </c>
      <c r="C189" s="215">
        <v>0</v>
      </c>
      <c r="D189" s="215">
        <v>0</v>
      </c>
      <c r="E189" s="215">
        <v>0</v>
      </c>
      <c r="F189" s="215">
        <v>0</v>
      </c>
      <c r="G189" s="215">
        <v>0</v>
      </c>
      <c r="H189" s="215">
        <v>0</v>
      </c>
      <c r="I189" s="215">
        <v>0</v>
      </c>
      <c r="J189" s="215">
        <v>0</v>
      </c>
      <c r="K189" s="215">
        <v>0</v>
      </c>
      <c r="L189" s="251">
        <v>0</v>
      </c>
      <c r="M189" s="154">
        <f t="shared" si="85"/>
        <v>0</v>
      </c>
      <c r="N189" s="156">
        <f t="shared" si="86"/>
        <v>0</v>
      </c>
      <c r="O189" s="214">
        <v>0</v>
      </c>
      <c r="P189" s="215">
        <v>0</v>
      </c>
      <c r="Q189" s="215">
        <v>0</v>
      </c>
      <c r="R189" s="215">
        <v>0</v>
      </c>
      <c r="S189" s="215">
        <v>0</v>
      </c>
      <c r="T189" s="215">
        <v>0</v>
      </c>
      <c r="U189" s="215">
        <v>0</v>
      </c>
      <c r="V189" s="215">
        <v>0</v>
      </c>
      <c r="W189" s="215">
        <v>0</v>
      </c>
      <c r="X189" s="215">
        <v>0</v>
      </c>
      <c r="Y189" s="251">
        <v>0</v>
      </c>
      <c r="Z189" s="154">
        <f t="shared" si="87"/>
        <v>0</v>
      </c>
      <c r="AA189" s="156">
        <f t="shared" si="88"/>
        <v>0</v>
      </c>
      <c r="AB189" s="795">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796">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069">
        <f t="shared" si="89"/>
        <v>0</v>
      </c>
      <c r="AE189" s="1073">
        <f t="shared" si="82"/>
        <v>0</v>
      </c>
      <c r="AF189" s="1074">
        <f t="shared" si="83"/>
        <v>0</v>
      </c>
      <c r="AG189" s="1074">
        <f t="shared" si="84"/>
        <v>0</v>
      </c>
      <c r="AH189" s="1015">
        <f t="shared" si="90"/>
        <v>0</v>
      </c>
      <c r="AI189" s="1075">
        <f t="shared" si="91"/>
        <v>0</v>
      </c>
      <c r="AJ189" s="99"/>
      <c r="AK189" s="99"/>
      <c r="AL189" s="99"/>
      <c r="AM189" s="99"/>
    </row>
    <row r="190" spans="1:39" x14ac:dyDescent="0.2">
      <c r="A190" s="202">
        <v>2017</v>
      </c>
      <c r="B190" s="216">
        <v>0</v>
      </c>
      <c r="C190" s="217">
        <v>0</v>
      </c>
      <c r="D190" s="217">
        <v>0</v>
      </c>
      <c r="E190" s="217">
        <v>0</v>
      </c>
      <c r="F190" s="217">
        <v>0</v>
      </c>
      <c r="G190" s="217">
        <v>0</v>
      </c>
      <c r="H190" s="217">
        <v>0</v>
      </c>
      <c r="I190" s="217">
        <v>0</v>
      </c>
      <c r="J190" s="217">
        <v>0</v>
      </c>
      <c r="K190" s="217">
        <v>0</v>
      </c>
      <c r="L190" s="252">
        <v>0</v>
      </c>
      <c r="M190" s="168">
        <f t="shared" si="85"/>
        <v>0</v>
      </c>
      <c r="N190" s="170">
        <f t="shared" si="86"/>
        <v>0</v>
      </c>
      <c r="O190" s="216">
        <v>0</v>
      </c>
      <c r="P190" s="217">
        <v>0</v>
      </c>
      <c r="Q190" s="217">
        <v>0</v>
      </c>
      <c r="R190" s="217">
        <v>0</v>
      </c>
      <c r="S190" s="217">
        <v>0</v>
      </c>
      <c r="T190" s="217">
        <v>0</v>
      </c>
      <c r="U190" s="217">
        <v>0</v>
      </c>
      <c r="V190" s="217">
        <v>0</v>
      </c>
      <c r="W190" s="217">
        <v>0</v>
      </c>
      <c r="X190" s="217">
        <v>0</v>
      </c>
      <c r="Y190" s="252">
        <v>0</v>
      </c>
      <c r="Z190" s="168">
        <f t="shared" si="87"/>
        <v>0</v>
      </c>
      <c r="AA190" s="170">
        <f t="shared" si="88"/>
        <v>0</v>
      </c>
      <c r="AB190" s="795">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796">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069">
        <f t="shared" si="89"/>
        <v>0</v>
      </c>
      <c r="AE190" s="1073">
        <f t="shared" si="82"/>
        <v>0</v>
      </c>
      <c r="AF190" s="1074">
        <f t="shared" si="83"/>
        <v>0</v>
      </c>
      <c r="AG190" s="1074">
        <f t="shared" si="84"/>
        <v>0</v>
      </c>
      <c r="AH190" s="1015">
        <f t="shared" si="90"/>
        <v>0</v>
      </c>
      <c r="AI190" s="1075">
        <f t="shared" si="91"/>
        <v>0</v>
      </c>
      <c r="AJ190" s="99"/>
      <c r="AK190" s="99"/>
      <c r="AL190" s="99"/>
      <c r="AM190" s="99"/>
    </row>
    <row r="191" spans="1:39" x14ac:dyDescent="0.2">
      <c r="A191" s="202">
        <v>2018</v>
      </c>
      <c r="B191" s="216">
        <v>0</v>
      </c>
      <c r="C191" s="217">
        <v>0</v>
      </c>
      <c r="D191" s="217">
        <v>0</v>
      </c>
      <c r="E191" s="217">
        <v>0</v>
      </c>
      <c r="F191" s="217">
        <v>0</v>
      </c>
      <c r="G191" s="217">
        <v>0</v>
      </c>
      <c r="H191" s="217">
        <v>0</v>
      </c>
      <c r="I191" s="217">
        <v>0</v>
      </c>
      <c r="J191" s="217">
        <v>0</v>
      </c>
      <c r="K191" s="217">
        <v>0</v>
      </c>
      <c r="L191" s="252">
        <v>0</v>
      </c>
      <c r="M191" s="168">
        <f t="shared" si="85"/>
        <v>0</v>
      </c>
      <c r="N191" s="170">
        <f t="shared" si="86"/>
        <v>0</v>
      </c>
      <c r="O191" s="216">
        <v>0</v>
      </c>
      <c r="P191" s="217">
        <v>0</v>
      </c>
      <c r="Q191" s="217">
        <v>0</v>
      </c>
      <c r="R191" s="217">
        <v>0</v>
      </c>
      <c r="S191" s="217">
        <v>0</v>
      </c>
      <c r="T191" s="217">
        <v>0</v>
      </c>
      <c r="U191" s="217">
        <v>0</v>
      </c>
      <c r="V191" s="217">
        <v>0</v>
      </c>
      <c r="W191" s="217">
        <v>0</v>
      </c>
      <c r="X191" s="217">
        <v>0</v>
      </c>
      <c r="Y191" s="252">
        <v>0</v>
      </c>
      <c r="Z191" s="168">
        <f t="shared" si="87"/>
        <v>0</v>
      </c>
      <c r="AA191" s="170">
        <f t="shared" si="88"/>
        <v>0</v>
      </c>
      <c r="AB191" s="795">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796">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069">
        <f t="shared" si="89"/>
        <v>0</v>
      </c>
      <c r="AE191" s="1073">
        <f t="shared" si="82"/>
        <v>0</v>
      </c>
      <c r="AF191" s="1074">
        <f t="shared" si="83"/>
        <v>0</v>
      </c>
      <c r="AG191" s="1074">
        <f t="shared" si="84"/>
        <v>0</v>
      </c>
      <c r="AH191" s="1015">
        <f t="shared" si="90"/>
        <v>0</v>
      </c>
      <c r="AI191" s="1075">
        <f t="shared" si="91"/>
        <v>0</v>
      </c>
      <c r="AJ191" s="99"/>
      <c r="AK191" s="99"/>
      <c r="AL191" s="99"/>
      <c r="AM191" s="99"/>
    </row>
    <row r="192" spans="1:39" x14ac:dyDescent="0.2">
      <c r="A192" s="202">
        <v>2019</v>
      </c>
      <c r="B192" s="216">
        <v>0</v>
      </c>
      <c r="C192" s="217">
        <v>0</v>
      </c>
      <c r="D192" s="217">
        <v>0</v>
      </c>
      <c r="E192" s="217">
        <v>0</v>
      </c>
      <c r="F192" s="217">
        <v>0</v>
      </c>
      <c r="G192" s="217">
        <v>0</v>
      </c>
      <c r="H192" s="217">
        <v>0</v>
      </c>
      <c r="I192" s="217">
        <v>0</v>
      </c>
      <c r="J192" s="217">
        <v>0</v>
      </c>
      <c r="K192" s="217">
        <v>0</v>
      </c>
      <c r="L192" s="252">
        <v>0</v>
      </c>
      <c r="M192" s="168">
        <f t="shared" si="85"/>
        <v>0</v>
      </c>
      <c r="N192" s="170">
        <f t="shared" si="86"/>
        <v>0</v>
      </c>
      <c r="O192" s="216">
        <v>0</v>
      </c>
      <c r="P192" s="217">
        <v>0</v>
      </c>
      <c r="Q192" s="217">
        <v>0</v>
      </c>
      <c r="R192" s="217">
        <v>0</v>
      </c>
      <c r="S192" s="217">
        <v>0</v>
      </c>
      <c r="T192" s="217">
        <v>0</v>
      </c>
      <c r="U192" s="217">
        <v>0</v>
      </c>
      <c r="V192" s="217">
        <v>0</v>
      </c>
      <c r="W192" s="217">
        <v>0</v>
      </c>
      <c r="X192" s="217">
        <v>0</v>
      </c>
      <c r="Y192" s="252">
        <v>0</v>
      </c>
      <c r="Z192" s="168">
        <f t="shared" si="87"/>
        <v>0</v>
      </c>
      <c r="AA192" s="170">
        <f t="shared" si="88"/>
        <v>0</v>
      </c>
      <c r="AB192" s="795">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796">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069">
        <f t="shared" si="89"/>
        <v>0</v>
      </c>
      <c r="AE192" s="1073">
        <f t="shared" si="82"/>
        <v>0</v>
      </c>
      <c r="AF192" s="1074">
        <f t="shared" si="83"/>
        <v>0</v>
      </c>
      <c r="AG192" s="1074">
        <f t="shared" si="84"/>
        <v>0</v>
      </c>
      <c r="AH192" s="1015">
        <f t="shared" si="90"/>
        <v>0</v>
      </c>
      <c r="AI192" s="1075">
        <f t="shared" si="91"/>
        <v>0</v>
      </c>
      <c r="AJ192" s="99"/>
      <c r="AK192" s="99"/>
      <c r="AL192" s="99"/>
      <c r="AM192" s="99"/>
    </row>
    <row r="193" spans="1:39" ht="13.5" thickBot="1" x14ac:dyDescent="0.25">
      <c r="A193" s="200">
        <v>2020</v>
      </c>
      <c r="B193" s="218">
        <v>0</v>
      </c>
      <c r="C193" s="219">
        <v>0</v>
      </c>
      <c r="D193" s="219">
        <v>0</v>
      </c>
      <c r="E193" s="219">
        <v>0</v>
      </c>
      <c r="F193" s="219">
        <v>0</v>
      </c>
      <c r="G193" s="219">
        <v>0</v>
      </c>
      <c r="H193" s="219">
        <v>0</v>
      </c>
      <c r="I193" s="219">
        <v>0</v>
      </c>
      <c r="J193" s="219">
        <v>0</v>
      </c>
      <c r="K193" s="219">
        <v>0</v>
      </c>
      <c r="L193" s="253">
        <v>0</v>
      </c>
      <c r="M193" s="182">
        <f t="shared" si="85"/>
        <v>0</v>
      </c>
      <c r="N193" s="184">
        <f t="shared" si="86"/>
        <v>0</v>
      </c>
      <c r="O193" s="218">
        <v>0</v>
      </c>
      <c r="P193" s="219">
        <v>0</v>
      </c>
      <c r="Q193" s="219">
        <v>0</v>
      </c>
      <c r="R193" s="219">
        <v>0</v>
      </c>
      <c r="S193" s="219">
        <v>0</v>
      </c>
      <c r="T193" s="219">
        <v>0</v>
      </c>
      <c r="U193" s="219">
        <v>0</v>
      </c>
      <c r="V193" s="219">
        <v>0</v>
      </c>
      <c r="W193" s="219">
        <v>0</v>
      </c>
      <c r="X193" s="219">
        <v>0</v>
      </c>
      <c r="Y193" s="253">
        <v>0</v>
      </c>
      <c r="Z193" s="182">
        <f t="shared" si="87"/>
        <v>0</v>
      </c>
      <c r="AA193" s="184">
        <f t="shared" si="88"/>
        <v>0</v>
      </c>
      <c r="AB193" s="795">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796">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069">
        <f t="shared" si="89"/>
        <v>0</v>
      </c>
      <c r="AE193" s="1073">
        <f t="shared" si="82"/>
        <v>0</v>
      </c>
      <c r="AF193" s="1074">
        <f t="shared" si="83"/>
        <v>0</v>
      </c>
      <c r="AG193" s="1074">
        <f t="shared" si="84"/>
        <v>0</v>
      </c>
      <c r="AH193" s="1015">
        <f t="shared" si="90"/>
        <v>0</v>
      </c>
      <c r="AI193" s="1075">
        <f t="shared" si="91"/>
        <v>0</v>
      </c>
      <c r="AJ193" s="99"/>
      <c r="AK193" s="99"/>
      <c r="AL193" s="99"/>
      <c r="AM193" s="99"/>
    </row>
    <row r="194" spans="1:39" x14ac:dyDescent="0.2">
      <c r="A194" s="201">
        <v>2021</v>
      </c>
      <c r="B194" s="214">
        <v>0</v>
      </c>
      <c r="C194" s="215">
        <v>0</v>
      </c>
      <c r="D194" s="215">
        <v>0</v>
      </c>
      <c r="E194" s="215">
        <v>0</v>
      </c>
      <c r="F194" s="215">
        <v>0</v>
      </c>
      <c r="G194" s="215">
        <v>0</v>
      </c>
      <c r="H194" s="215">
        <v>0</v>
      </c>
      <c r="I194" s="215">
        <v>0</v>
      </c>
      <c r="J194" s="215">
        <v>0</v>
      </c>
      <c r="K194" s="215">
        <v>0</v>
      </c>
      <c r="L194" s="251">
        <v>0</v>
      </c>
      <c r="M194" s="154">
        <f t="shared" si="85"/>
        <v>0</v>
      </c>
      <c r="N194" s="156">
        <f t="shared" si="86"/>
        <v>0</v>
      </c>
      <c r="O194" s="214">
        <v>0</v>
      </c>
      <c r="P194" s="215">
        <v>0</v>
      </c>
      <c r="Q194" s="215">
        <v>0</v>
      </c>
      <c r="R194" s="215">
        <v>0</v>
      </c>
      <c r="S194" s="215">
        <v>0</v>
      </c>
      <c r="T194" s="215">
        <v>0</v>
      </c>
      <c r="U194" s="215">
        <v>0</v>
      </c>
      <c r="V194" s="215">
        <v>0</v>
      </c>
      <c r="W194" s="215">
        <v>0</v>
      </c>
      <c r="X194" s="215">
        <v>0</v>
      </c>
      <c r="Y194" s="251">
        <v>0</v>
      </c>
      <c r="Z194" s="154">
        <f t="shared" si="87"/>
        <v>0</v>
      </c>
      <c r="AA194" s="156">
        <f t="shared" si="88"/>
        <v>0</v>
      </c>
      <c r="AB194" s="795">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796">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069">
        <f t="shared" si="89"/>
        <v>0</v>
      </c>
      <c r="AE194" s="1073">
        <f t="shared" si="82"/>
        <v>0</v>
      </c>
      <c r="AF194" s="1074">
        <f t="shared" si="83"/>
        <v>0</v>
      </c>
      <c r="AG194" s="1074">
        <f t="shared" si="84"/>
        <v>0</v>
      </c>
      <c r="AH194" s="1015">
        <f t="shared" si="90"/>
        <v>0</v>
      </c>
      <c r="AI194" s="1075">
        <f t="shared" si="91"/>
        <v>0</v>
      </c>
      <c r="AJ194" s="99"/>
      <c r="AK194" s="99"/>
      <c r="AL194" s="99"/>
      <c r="AM194" s="99"/>
    </row>
    <row r="195" spans="1:39" x14ac:dyDescent="0.2">
      <c r="A195" s="202">
        <v>2022</v>
      </c>
      <c r="B195" s="216">
        <v>0</v>
      </c>
      <c r="C195" s="217">
        <v>0</v>
      </c>
      <c r="D195" s="217">
        <v>0</v>
      </c>
      <c r="E195" s="217">
        <v>0</v>
      </c>
      <c r="F195" s="217">
        <v>0</v>
      </c>
      <c r="G195" s="217">
        <v>0</v>
      </c>
      <c r="H195" s="217">
        <v>0</v>
      </c>
      <c r="I195" s="217">
        <v>0</v>
      </c>
      <c r="J195" s="217">
        <v>0</v>
      </c>
      <c r="K195" s="217">
        <v>0</v>
      </c>
      <c r="L195" s="252">
        <v>0</v>
      </c>
      <c r="M195" s="168">
        <f t="shared" si="85"/>
        <v>0</v>
      </c>
      <c r="N195" s="170">
        <f t="shared" si="86"/>
        <v>0</v>
      </c>
      <c r="O195" s="216">
        <v>0</v>
      </c>
      <c r="P195" s="217">
        <v>0</v>
      </c>
      <c r="Q195" s="217">
        <v>0</v>
      </c>
      <c r="R195" s="217">
        <v>0</v>
      </c>
      <c r="S195" s="217">
        <v>0</v>
      </c>
      <c r="T195" s="217">
        <v>0</v>
      </c>
      <c r="U195" s="217">
        <v>0</v>
      </c>
      <c r="V195" s="217">
        <v>0</v>
      </c>
      <c r="W195" s="217">
        <v>0</v>
      </c>
      <c r="X195" s="217">
        <v>0</v>
      </c>
      <c r="Y195" s="252">
        <v>0</v>
      </c>
      <c r="Z195" s="168">
        <f t="shared" si="87"/>
        <v>0</v>
      </c>
      <c r="AA195" s="170">
        <f t="shared" si="88"/>
        <v>0</v>
      </c>
      <c r="AB195" s="795">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796">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069">
        <f t="shared" si="89"/>
        <v>0</v>
      </c>
      <c r="AE195" s="1073">
        <f>SUMPRODUCT($B$74:$L$74,B195:L195)</f>
        <v>0</v>
      </c>
      <c r="AF195" s="1074">
        <f>SUMPRODUCT($O$74:$Y$74,O195:Y195)</f>
        <v>0</v>
      </c>
      <c r="AG195" s="1074">
        <f>SUM(AE195:AF195)</f>
        <v>0</v>
      </c>
      <c r="AH195" s="1015">
        <f t="shared" si="90"/>
        <v>0</v>
      </c>
      <c r="AI195" s="1075">
        <f t="shared" si="91"/>
        <v>0</v>
      </c>
      <c r="AJ195" s="99"/>
      <c r="AK195" s="99"/>
      <c r="AL195" s="99"/>
      <c r="AM195" s="99"/>
    </row>
    <row r="196" spans="1:39" x14ac:dyDescent="0.2">
      <c r="A196" s="202">
        <v>2023</v>
      </c>
      <c r="B196" s="216">
        <v>0</v>
      </c>
      <c r="C196" s="217">
        <v>0</v>
      </c>
      <c r="D196" s="217">
        <v>0</v>
      </c>
      <c r="E196" s="217">
        <v>0</v>
      </c>
      <c r="F196" s="217">
        <v>0</v>
      </c>
      <c r="G196" s="217">
        <v>0</v>
      </c>
      <c r="H196" s="217">
        <v>0</v>
      </c>
      <c r="I196" s="217">
        <v>0</v>
      </c>
      <c r="J196" s="217">
        <v>0</v>
      </c>
      <c r="K196" s="217">
        <v>0</v>
      </c>
      <c r="L196" s="252">
        <v>0</v>
      </c>
      <c r="M196" s="168">
        <f t="shared" si="85"/>
        <v>0</v>
      </c>
      <c r="N196" s="170">
        <f t="shared" si="86"/>
        <v>0</v>
      </c>
      <c r="O196" s="216">
        <v>0</v>
      </c>
      <c r="P196" s="217">
        <v>0</v>
      </c>
      <c r="Q196" s="217">
        <v>0</v>
      </c>
      <c r="R196" s="217">
        <v>0</v>
      </c>
      <c r="S196" s="217">
        <v>0</v>
      </c>
      <c r="T196" s="217">
        <v>0</v>
      </c>
      <c r="U196" s="217">
        <v>0</v>
      </c>
      <c r="V196" s="217">
        <v>0</v>
      </c>
      <c r="W196" s="217">
        <v>0</v>
      </c>
      <c r="X196" s="217">
        <v>0</v>
      </c>
      <c r="Y196" s="252">
        <v>0</v>
      </c>
      <c r="Z196" s="168">
        <f t="shared" si="87"/>
        <v>0</v>
      </c>
      <c r="AA196" s="170">
        <f t="shared" si="88"/>
        <v>0</v>
      </c>
      <c r="AB196" s="795">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796">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069">
        <f t="shared" si="89"/>
        <v>0</v>
      </c>
      <c r="AE196" s="1073">
        <f t="shared" ref="AE196:AE223" si="92">SUMPRODUCT($B$74:$L$74,B196:L196)</f>
        <v>0</v>
      </c>
      <c r="AF196" s="1074">
        <f t="shared" ref="AF196:AF223" si="93">SUMPRODUCT($O$74:$Y$74,O196:Y196)</f>
        <v>0</v>
      </c>
      <c r="AG196" s="1074">
        <f t="shared" ref="AG196:AG223" si="94">SUM(AE196:AF196)</f>
        <v>0</v>
      </c>
      <c r="AH196" s="1015">
        <f t="shared" si="90"/>
        <v>0</v>
      </c>
      <c r="AI196" s="1075">
        <f t="shared" si="91"/>
        <v>0</v>
      </c>
      <c r="AJ196" s="99"/>
      <c r="AK196" s="99"/>
      <c r="AL196" s="99"/>
      <c r="AM196" s="99"/>
    </row>
    <row r="197" spans="1:39" x14ac:dyDescent="0.2">
      <c r="A197" s="202">
        <v>2024</v>
      </c>
      <c r="B197" s="216">
        <v>0</v>
      </c>
      <c r="C197" s="217">
        <v>0</v>
      </c>
      <c r="D197" s="217">
        <v>0</v>
      </c>
      <c r="E197" s="217">
        <v>0</v>
      </c>
      <c r="F197" s="217">
        <v>0</v>
      </c>
      <c r="G197" s="217">
        <v>0</v>
      </c>
      <c r="H197" s="217">
        <v>0</v>
      </c>
      <c r="I197" s="217">
        <v>0</v>
      </c>
      <c r="J197" s="217">
        <v>0</v>
      </c>
      <c r="K197" s="217">
        <v>0</v>
      </c>
      <c r="L197" s="252">
        <v>0</v>
      </c>
      <c r="M197" s="168">
        <f t="shared" si="85"/>
        <v>0</v>
      </c>
      <c r="N197" s="170">
        <f t="shared" si="86"/>
        <v>0</v>
      </c>
      <c r="O197" s="216">
        <v>0</v>
      </c>
      <c r="P197" s="217">
        <v>0</v>
      </c>
      <c r="Q197" s="217">
        <v>0</v>
      </c>
      <c r="R197" s="217">
        <v>0</v>
      </c>
      <c r="S197" s="217">
        <v>0</v>
      </c>
      <c r="T197" s="217">
        <v>0</v>
      </c>
      <c r="U197" s="217">
        <v>0</v>
      </c>
      <c r="V197" s="217">
        <v>0</v>
      </c>
      <c r="W197" s="217">
        <v>0</v>
      </c>
      <c r="X197" s="217">
        <v>0</v>
      </c>
      <c r="Y197" s="252">
        <v>0</v>
      </c>
      <c r="Z197" s="168">
        <f t="shared" si="87"/>
        <v>0</v>
      </c>
      <c r="AA197" s="170">
        <f t="shared" si="88"/>
        <v>0</v>
      </c>
      <c r="AB197" s="795">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796">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069">
        <f t="shared" si="89"/>
        <v>0</v>
      </c>
      <c r="AE197" s="1073">
        <f t="shared" si="92"/>
        <v>0</v>
      </c>
      <c r="AF197" s="1074">
        <f t="shared" si="93"/>
        <v>0</v>
      </c>
      <c r="AG197" s="1074">
        <f t="shared" si="94"/>
        <v>0</v>
      </c>
      <c r="AH197" s="1015">
        <f t="shared" si="90"/>
        <v>0</v>
      </c>
      <c r="AI197" s="1075">
        <f t="shared" si="91"/>
        <v>0</v>
      </c>
      <c r="AJ197" s="99"/>
      <c r="AK197" s="99"/>
      <c r="AL197" s="99"/>
      <c r="AM197" s="99"/>
    </row>
    <row r="198" spans="1:39" ht="13.5" thickBot="1" x14ac:dyDescent="0.25">
      <c r="A198" s="200">
        <v>2025</v>
      </c>
      <c r="B198" s="218">
        <v>0</v>
      </c>
      <c r="C198" s="219">
        <v>0</v>
      </c>
      <c r="D198" s="219">
        <v>0</v>
      </c>
      <c r="E198" s="219">
        <v>0</v>
      </c>
      <c r="F198" s="219">
        <v>0</v>
      </c>
      <c r="G198" s="219">
        <v>0</v>
      </c>
      <c r="H198" s="219">
        <v>0</v>
      </c>
      <c r="I198" s="219">
        <v>0</v>
      </c>
      <c r="J198" s="219">
        <v>0</v>
      </c>
      <c r="K198" s="219">
        <v>0</v>
      </c>
      <c r="L198" s="253">
        <v>0</v>
      </c>
      <c r="M198" s="182">
        <f t="shared" si="85"/>
        <v>0</v>
      </c>
      <c r="N198" s="184">
        <f t="shared" si="86"/>
        <v>0</v>
      </c>
      <c r="O198" s="218">
        <v>0</v>
      </c>
      <c r="P198" s="219">
        <v>0</v>
      </c>
      <c r="Q198" s="219">
        <v>0</v>
      </c>
      <c r="R198" s="219">
        <v>0</v>
      </c>
      <c r="S198" s="219">
        <v>0</v>
      </c>
      <c r="T198" s="219">
        <v>0</v>
      </c>
      <c r="U198" s="219">
        <v>0</v>
      </c>
      <c r="V198" s="219">
        <v>0</v>
      </c>
      <c r="W198" s="219">
        <v>0</v>
      </c>
      <c r="X198" s="219">
        <v>0</v>
      </c>
      <c r="Y198" s="253">
        <v>0</v>
      </c>
      <c r="Z198" s="182">
        <f t="shared" si="87"/>
        <v>0</v>
      </c>
      <c r="AA198" s="184">
        <f t="shared" si="88"/>
        <v>0</v>
      </c>
      <c r="AB198" s="795">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796">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069">
        <f t="shared" si="89"/>
        <v>0</v>
      </c>
      <c r="AE198" s="1073">
        <f t="shared" si="92"/>
        <v>0</v>
      </c>
      <c r="AF198" s="1074">
        <f t="shared" si="93"/>
        <v>0</v>
      </c>
      <c r="AG198" s="1074">
        <f t="shared" si="94"/>
        <v>0</v>
      </c>
      <c r="AH198" s="1015">
        <f t="shared" si="90"/>
        <v>0</v>
      </c>
      <c r="AI198" s="1075">
        <f t="shared" si="91"/>
        <v>0</v>
      </c>
      <c r="AJ198" s="99"/>
      <c r="AK198" s="99"/>
      <c r="AL198" s="99"/>
      <c r="AM198" s="99"/>
    </row>
    <row r="199" spans="1:39" x14ac:dyDescent="0.2">
      <c r="A199" s="201">
        <v>2026</v>
      </c>
      <c r="B199" s="214">
        <v>0</v>
      </c>
      <c r="C199" s="215">
        <v>0</v>
      </c>
      <c r="D199" s="215">
        <v>0</v>
      </c>
      <c r="E199" s="215">
        <v>0</v>
      </c>
      <c r="F199" s="215">
        <v>0</v>
      </c>
      <c r="G199" s="215">
        <v>0</v>
      </c>
      <c r="H199" s="215">
        <v>0</v>
      </c>
      <c r="I199" s="215">
        <v>0</v>
      </c>
      <c r="J199" s="215">
        <v>0</v>
      </c>
      <c r="K199" s="215">
        <v>0</v>
      </c>
      <c r="L199" s="251">
        <v>0</v>
      </c>
      <c r="M199" s="154">
        <f t="shared" si="85"/>
        <v>0</v>
      </c>
      <c r="N199" s="156">
        <f t="shared" si="86"/>
        <v>0</v>
      </c>
      <c r="O199" s="214">
        <v>0</v>
      </c>
      <c r="P199" s="215">
        <v>0</v>
      </c>
      <c r="Q199" s="215">
        <v>0</v>
      </c>
      <c r="R199" s="215">
        <v>0</v>
      </c>
      <c r="S199" s="215">
        <v>0</v>
      </c>
      <c r="T199" s="215">
        <v>0</v>
      </c>
      <c r="U199" s="215">
        <v>0</v>
      </c>
      <c r="V199" s="215">
        <v>0</v>
      </c>
      <c r="W199" s="215">
        <v>0</v>
      </c>
      <c r="X199" s="215">
        <v>0</v>
      </c>
      <c r="Y199" s="251">
        <v>0</v>
      </c>
      <c r="Z199" s="154">
        <f t="shared" si="87"/>
        <v>0</v>
      </c>
      <c r="AA199" s="156">
        <f t="shared" si="88"/>
        <v>0</v>
      </c>
      <c r="AB199" s="795">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796">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069">
        <f t="shared" si="89"/>
        <v>0</v>
      </c>
      <c r="AE199" s="1073">
        <f t="shared" si="92"/>
        <v>0</v>
      </c>
      <c r="AF199" s="1074">
        <f t="shared" si="93"/>
        <v>0</v>
      </c>
      <c r="AG199" s="1074">
        <f t="shared" si="94"/>
        <v>0</v>
      </c>
      <c r="AH199" s="1015">
        <f t="shared" si="90"/>
        <v>0</v>
      </c>
      <c r="AI199" s="1075">
        <f t="shared" si="91"/>
        <v>0</v>
      </c>
      <c r="AJ199" s="99"/>
      <c r="AK199" s="99"/>
      <c r="AL199" s="99"/>
      <c r="AM199" s="99"/>
    </row>
    <row r="200" spans="1:39" x14ac:dyDescent="0.2">
      <c r="A200" s="202">
        <v>2027</v>
      </c>
      <c r="B200" s="216">
        <v>0</v>
      </c>
      <c r="C200" s="217">
        <v>0</v>
      </c>
      <c r="D200" s="217">
        <v>0</v>
      </c>
      <c r="E200" s="217">
        <v>0</v>
      </c>
      <c r="F200" s="217">
        <v>0</v>
      </c>
      <c r="G200" s="217">
        <v>0</v>
      </c>
      <c r="H200" s="217">
        <v>0</v>
      </c>
      <c r="I200" s="217">
        <v>0</v>
      </c>
      <c r="J200" s="217">
        <v>0</v>
      </c>
      <c r="K200" s="217">
        <v>0</v>
      </c>
      <c r="L200" s="252">
        <v>0</v>
      </c>
      <c r="M200" s="168">
        <f t="shared" si="85"/>
        <v>0</v>
      </c>
      <c r="N200" s="170">
        <f t="shared" si="86"/>
        <v>0</v>
      </c>
      <c r="O200" s="216">
        <v>0</v>
      </c>
      <c r="P200" s="217">
        <v>0</v>
      </c>
      <c r="Q200" s="217">
        <v>0</v>
      </c>
      <c r="R200" s="217">
        <v>0</v>
      </c>
      <c r="S200" s="217">
        <v>0</v>
      </c>
      <c r="T200" s="217">
        <v>0</v>
      </c>
      <c r="U200" s="217">
        <v>0</v>
      </c>
      <c r="V200" s="217">
        <v>0</v>
      </c>
      <c r="W200" s="217">
        <v>0</v>
      </c>
      <c r="X200" s="217">
        <v>0</v>
      </c>
      <c r="Y200" s="252">
        <v>0</v>
      </c>
      <c r="Z200" s="168">
        <f t="shared" si="87"/>
        <v>0</v>
      </c>
      <c r="AA200" s="170">
        <f t="shared" si="88"/>
        <v>0</v>
      </c>
      <c r="AB200" s="795">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796">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069">
        <f t="shared" si="89"/>
        <v>0</v>
      </c>
      <c r="AE200" s="1073">
        <f t="shared" si="92"/>
        <v>0</v>
      </c>
      <c r="AF200" s="1074">
        <f t="shared" si="93"/>
        <v>0</v>
      </c>
      <c r="AG200" s="1074">
        <f t="shared" si="94"/>
        <v>0</v>
      </c>
      <c r="AH200" s="1015">
        <f t="shared" si="90"/>
        <v>0</v>
      </c>
      <c r="AI200" s="1075">
        <f t="shared" si="91"/>
        <v>0</v>
      </c>
      <c r="AJ200" s="99"/>
      <c r="AK200" s="99"/>
      <c r="AL200" s="99"/>
      <c r="AM200" s="99"/>
    </row>
    <row r="201" spans="1:39" x14ac:dyDescent="0.2">
      <c r="A201" s="202">
        <v>2028</v>
      </c>
      <c r="B201" s="216">
        <v>0</v>
      </c>
      <c r="C201" s="217">
        <v>0</v>
      </c>
      <c r="D201" s="217">
        <v>0</v>
      </c>
      <c r="E201" s="217">
        <v>0</v>
      </c>
      <c r="F201" s="217">
        <v>0</v>
      </c>
      <c r="G201" s="217">
        <v>0</v>
      </c>
      <c r="H201" s="217">
        <v>0</v>
      </c>
      <c r="I201" s="217">
        <v>0</v>
      </c>
      <c r="J201" s="217">
        <v>0</v>
      </c>
      <c r="K201" s="217">
        <v>0</v>
      </c>
      <c r="L201" s="252">
        <v>0</v>
      </c>
      <c r="M201" s="168">
        <f t="shared" si="85"/>
        <v>0</v>
      </c>
      <c r="N201" s="170">
        <f t="shared" si="86"/>
        <v>0</v>
      </c>
      <c r="O201" s="216">
        <v>0</v>
      </c>
      <c r="P201" s="217">
        <v>0</v>
      </c>
      <c r="Q201" s="217">
        <v>0</v>
      </c>
      <c r="R201" s="217">
        <v>0</v>
      </c>
      <c r="S201" s="217">
        <v>0</v>
      </c>
      <c r="T201" s="217">
        <v>0</v>
      </c>
      <c r="U201" s="217">
        <v>0</v>
      </c>
      <c r="V201" s="217">
        <v>0</v>
      </c>
      <c r="W201" s="217">
        <v>0</v>
      </c>
      <c r="X201" s="217">
        <v>0</v>
      </c>
      <c r="Y201" s="252">
        <v>0</v>
      </c>
      <c r="Z201" s="168">
        <f t="shared" si="87"/>
        <v>0</v>
      </c>
      <c r="AA201" s="170">
        <f t="shared" si="88"/>
        <v>0</v>
      </c>
      <c r="AB201" s="795">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796">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069">
        <f t="shared" si="89"/>
        <v>0</v>
      </c>
      <c r="AE201" s="1073">
        <f t="shared" si="92"/>
        <v>0</v>
      </c>
      <c r="AF201" s="1074">
        <f t="shared" si="93"/>
        <v>0</v>
      </c>
      <c r="AG201" s="1074">
        <f t="shared" si="94"/>
        <v>0</v>
      </c>
      <c r="AH201" s="1015">
        <f t="shared" si="90"/>
        <v>0</v>
      </c>
      <c r="AI201" s="1075">
        <f t="shared" si="91"/>
        <v>0</v>
      </c>
      <c r="AJ201" s="99"/>
      <c r="AK201" s="99"/>
      <c r="AL201" s="99"/>
      <c r="AM201" s="99"/>
    </row>
    <row r="202" spans="1:39" x14ac:dyDescent="0.2">
      <c r="A202" s="202">
        <v>2029</v>
      </c>
      <c r="B202" s="216">
        <v>0</v>
      </c>
      <c r="C202" s="217">
        <v>0</v>
      </c>
      <c r="D202" s="217">
        <v>0</v>
      </c>
      <c r="E202" s="217">
        <v>0</v>
      </c>
      <c r="F202" s="217">
        <v>0</v>
      </c>
      <c r="G202" s="217">
        <v>0</v>
      </c>
      <c r="H202" s="217">
        <v>0</v>
      </c>
      <c r="I202" s="217">
        <v>0</v>
      </c>
      <c r="J202" s="217">
        <v>0</v>
      </c>
      <c r="K202" s="217">
        <v>0</v>
      </c>
      <c r="L202" s="252">
        <v>0</v>
      </c>
      <c r="M202" s="168">
        <f t="shared" si="85"/>
        <v>0</v>
      </c>
      <c r="N202" s="170">
        <f t="shared" si="86"/>
        <v>0</v>
      </c>
      <c r="O202" s="216">
        <v>0</v>
      </c>
      <c r="P202" s="217">
        <v>0</v>
      </c>
      <c r="Q202" s="217">
        <v>0</v>
      </c>
      <c r="R202" s="217">
        <v>0</v>
      </c>
      <c r="S202" s="217">
        <v>0</v>
      </c>
      <c r="T202" s="217">
        <v>0</v>
      </c>
      <c r="U202" s="217">
        <v>0</v>
      </c>
      <c r="V202" s="217">
        <v>0</v>
      </c>
      <c r="W202" s="217">
        <v>0</v>
      </c>
      <c r="X202" s="217">
        <v>0</v>
      </c>
      <c r="Y202" s="252">
        <v>0</v>
      </c>
      <c r="Z202" s="168">
        <f t="shared" si="87"/>
        <v>0</v>
      </c>
      <c r="AA202" s="170">
        <f t="shared" si="88"/>
        <v>0</v>
      </c>
      <c r="AB202" s="795">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796">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069">
        <f t="shared" si="89"/>
        <v>0</v>
      </c>
      <c r="AE202" s="1073">
        <f t="shared" si="92"/>
        <v>0</v>
      </c>
      <c r="AF202" s="1074">
        <f t="shared" si="93"/>
        <v>0</v>
      </c>
      <c r="AG202" s="1074">
        <f t="shared" si="94"/>
        <v>0</v>
      </c>
      <c r="AH202" s="1015">
        <f t="shared" si="90"/>
        <v>0</v>
      </c>
      <c r="AI202" s="1075">
        <f t="shared" si="91"/>
        <v>0</v>
      </c>
      <c r="AJ202" s="99"/>
      <c r="AK202" s="99"/>
      <c r="AL202" s="99"/>
      <c r="AM202" s="99"/>
    </row>
    <row r="203" spans="1:39" ht="13.5" thickBot="1" x14ac:dyDescent="0.25">
      <c r="A203" s="200">
        <v>2030</v>
      </c>
      <c r="B203" s="218">
        <v>0</v>
      </c>
      <c r="C203" s="219">
        <v>0</v>
      </c>
      <c r="D203" s="219">
        <v>0</v>
      </c>
      <c r="E203" s="219">
        <v>0</v>
      </c>
      <c r="F203" s="219">
        <v>0</v>
      </c>
      <c r="G203" s="219">
        <v>0</v>
      </c>
      <c r="H203" s="219">
        <v>0</v>
      </c>
      <c r="I203" s="219">
        <v>0</v>
      </c>
      <c r="J203" s="219">
        <v>0</v>
      </c>
      <c r="K203" s="219">
        <v>0</v>
      </c>
      <c r="L203" s="253">
        <v>0</v>
      </c>
      <c r="M203" s="182">
        <f t="shared" si="85"/>
        <v>0</v>
      </c>
      <c r="N203" s="184">
        <f t="shared" si="86"/>
        <v>0</v>
      </c>
      <c r="O203" s="218">
        <v>0</v>
      </c>
      <c r="P203" s="219">
        <v>0</v>
      </c>
      <c r="Q203" s="219">
        <v>0</v>
      </c>
      <c r="R203" s="219">
        <v>0</v>
      </c>
      <c r="S203" s="219">
        <v>0</v>
      </c>
      <c r="T203" s="219">
        <v>0</v>
      </c>
      <c r="U203" s="219">
        <v>0</v>
      </c>
      <c r="V203" s="219">
        <v>0</v>
      </c>
      <c r="W203" s="219">
        <v>0</v>
      </c>
      <c r="X203" s="219">
        <v>0</v>
      </c>
      <c r="Y203" s="253">
        <v>0</v>
      </c>
      <c r="Z203" s="182">
        <f t="shared" si="87"/>
        <v>0</v>
      </c>
      <c r="AA203" s="184">
        <f t="shared" si="88"/>
        <v>0</v>
      </c>
      <c r="AB203" s="795">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796">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069">
        <f t="shared" si="89"/>
        <v>0</v>
      </c>
      <c r="AE203" s="1073">
        <f t="shared" si="92"/>
        <v>0</v>
      </c>
      <c r="AF203" s="1074">
        <f t="shared" si="93"/>
        <v>0</v>
      </c>
      <c r="AG203" s="1074">
        <f t="shared" si="94"/>
        <v>0</v>
      </c>
      <c r="AH203" s="1015">
        <f t="shared" si="90"/>
        <v>0</v>
      </c>
      <c r="AI203" s="1075">
        <f t="shared" si="91"/>
        <v>0</v>
      </c>
      <c r="AJ203" s="99"/>
      <c r="AK203" s="99"/>
      <c r="AL203" s="99"/>
      <c r="AM203" s="99"/>
    </row>
    <row r="204" spans="1:39" x14ac:dyDescent="0.2">
      <c r="A204" s="201">
        <v>2031</v>
      </c>
      <c r="B204" s="214">
        <v>0</v>
      </c>
      <c r="C204" s="215">
        <v>0</v>
      </c>
      <c r="D204" s="215">
        <v>0</v>
      </c>
      <c r="E204" s="215">
        <v>0</v>
      </c>
      <c r="F204" s="215">
        <v>0</v>
      </c>
      <c r="G204" s="215">
        <v>0</v>
      </c>
      <c r="H204" s="215">
        <v>0</v>
      </c>
      <c r="I204" s="215">
        <v>0</v>
      </c>
      <c r="J204" s="215">
        <v>0</v>
      </c>
      <c r="K204" s="215">
        <v>0</v>
      </c>
      <c r="L204" s="251">
        <v>0</v>
      </c>
      <c r="M204" s="154">
        <f t="shared" si="85"/>
        <v>0</v>
      </c>
      <c r="N204" s="156">
        <f t="shared" si="86"/>
        <v>0</v>
      </c>
      <c r="O204" s="214">
        <v>0</v>
      </c>
      <c r="P204" s="215">
        <v>0</v>
      </c>
      <c r="Q204" s="215">
        <v>0</v>
      </c>
      <c r="R204" s="215">
        <v>0</v>
      </c>
      <c r="S204" s="215">
        <v>0</v>
      </c>
      <c r="T204" s="215">
        <v>0</v>
      </c>
      <c r="U204" s="215">
        <v>0</v>
      </c>
      <c r="V204" s="215">
        <v>0</v>
      </c>
      <c r="W204" s="215">
        <v>0</v>
      </c>
      <c r="X204" s="215">
        <v>0</v>
      </c>
      <c r="Y204" s="251">
        <v>0</v>
      </c>
      <c r="Z204" s="154">
        <f t="shared" si="87"/>
        <v>0</v>
      </c>
      <c r="AA204" s="156">
        <f t="shared" si="88"/>
        <v>0</v>
      </c>
      <c r="AB204" s="795">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796">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069">
        <f t="shared" si="89"/>
        <v>0</v>
      </c>
      <c r="AE204" s="1073">
        <f t="shared" si="92"/>
        <v>0</v>
      </c>
      <c r="AF204" s="1074">
        <f t="shared" si="93"/>
        <v>0</v>
      </c>
      <c r="AG204" s="1074">
        <f t="shared" si="94"/>
        <v>0</v>
      </c>
      <c r="AH204" s="1015">
        <f t="shared" si="90"/>
        <v>0</v>
      </c>
      <c r="AI204" s="1075">
        <f t="shared" si="91"/>
        <v>0</v>
      </c>
      <c r="AJ204" s="99"/>
      <c r="AK204" s="99"/>
      <c r="AL204" s="99"/>
      <c r="AM204" s="99"/>
    </row>
    <row r="205" spans="1:39" x14ac:dyDescent="0.2">
      <c r="A205" s="202">
        <v>2032</v>
      </c>
      <c r="B205" s="216">
        <v>0</v>
      </c>
      <c r="C205" s="217">
        <v>0</v>
      </c>
      <c r="D205" s="217">
        <v>0</v>
      </c>
      <c r="E205" s="217">
        <v>0</v>
      </c>
      <c r="F205" s="217">
        <v>0</v>
      </c>
      <c r="G205" s="217">
        <v>0</v>
      </c>
      <c r="H205" s="217">
        <v>0</v>
      </c>
      <c r="I205" s="217">
        <v>0</v>
      </c>
      <c r="J205" s="217">
        <v>0</v>
      </c>
      <c r="K205" s="217">
        <v>0</v>
      </c>
      <c r="L205" s="252">
        <v>0</v>
      </c>
      <c r="M205" s="168">
        <f t="shared" si="85"/>
        <v>0</v>
      </c>
      <c r="N205" s="170">
        <f t="shared" si="86"/>
        <v>0</v>
      </c>
      <c r="O205" s="216">
        <v>0</v>
      </c>
      <c r="P205" s="217">
        <v>0</v>
      </c>
      <c r="Q205" s="217">
        <v>0</v>
      </c>
      <c r="R205" s="217">
        <v>0</v>
      </c>
      <c r="S205" s="217">
        <v>0</v>
      </c>
      <c r="T205" s="217">
        <v>0</v>
      </c>
      <c r="U205" s="217">
        <v>0</v>
      </c>
      <c r="V205" s="217">
        <v>0</v>
      </c>
      <c r="W205" s="217">
        <v>0</v>
      </c>
      <c r="X205" s="217">
        <v>0</v>
      </c>
      <c r="Y205" s="252">
        <v>0</v>
      </c>
      <c r="Z205" s="168">
        <f t="shared" si="87"/>
        <v>0</v>
      </c>
      <c r="AA205" s="170">
        <f t="shared" si="88"/>
        <v>0</v>
      </c>
      <c r="AB205" s="795">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796">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069">
        <f t="shared" si="89"/>
        <v>0</v>
      </c>
      <c r="AE205" s="1073">
        <f t="shared" si="92"/>
        <v>0</v>
      </c>
      <c r="AF205" s="1074">
        <f t="shared" si="93"/>
        <v>0</v>
      </c>
      <c r="AG205" s="1074">
        <f t="shared" si="94"/>
        <v>0</v>
      </c>
      <c r="AH205" s="1015">
        <f t="shared" si="90"/>
        <v>0</v>
      </c>
      <c r="AI205" s="1075">
        <f t="shared" si="91"/>
        <v>0</v>
      </c>
      <c r="AJ205" s="99"/>
      <c r="AK205" s="99"/>
      <c r="AL205" s="99"/>
      <c r="AM205" s="99"/>
    </row>
    <row r="206" spans="1:39" x14ac:dyDescent="0.2">
      <c r="A206" s="202">
        <v>2033</v>
      </c>
      <c r="B206" s="216">
        <v>0</v>
      </c>
      <c r="C206" s="217">
        <v>0</v>
      </c>
      <c r="D206" s="217">
        <v>0</v>
      </c>
      <c r="E206" s="217">
        <v>0</v>
      </c>
      <c r="F206" s="217">
        <v>0</v>
      </c>
      <c r="G206" s="217">
        <v>0</v>
      </c>
      <c r="H206" s="217">
        <v>0</v>
      </c>
      <c r="I206" s="217">
        <v>0</v>
      </c>
      <c r="J206" s="217">
        <v>0</v>
      </c>
      <c r="K206" s="217">
        <v>0</v>
      </c>
      <c r="L206" s="252">
        <v>0</v>
      </c>
      <c r="M206" s="168">
        <f t="shared" si="85"/>
        <v>0</v>
      </c>
      <c r="N206" s="170">
        <f t="shared" si="86"/>
        <v>0</v>
      </c>
      <c r="O206" s="216">
        <v>0</v>
      </c>
      <c r="P206" s="217">
        <v>0</v>
      </c>
      <c r="Q206" s="217">
        <v>0</v>
      </c>
      <c r="R206" s="217">
        <v>0</v>
      </c>
      <c r="S206" s="217">
        <v>0</v>
      </c>
      <c r="T206" s="217">
        <v>0</v>
      </c>
      <c r="U206" s="217">
        <v>0</v>
      </c>
      <c r="V206" s="217">
        <v>0</v>
      </c>
      <c r="W206" s="217">
        <v>0</v>
      </c>
      <c r="X206" s="217">
        <v>0</v>
      </c>
      <c r="Y206" s="252">
        <v>0</v>
      </c>
      <c r="Z206" s="168">
        <f t="shared" si="87"/>
        <v>0</v>
      </c>
      <c r="AA206" s="170">
        <f t="shared" si="88"/>
        <v>0</v>
      </c>
      <c r="AB206" s="795">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796">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069">
        <f>AB206*AH206+AC206*AI206</f>
        <v>0</v>
      </c>
      <c r="AE206" s="1073">
        <f t="shared" si="92"/>
        <v>0</v>
      </c>
      <c r="AF206" s="1074">
        <f t="shared" si="93"/>
        <v>0</v>
      </c>
      <c r="AG206" s="1074">
        <f t="shared" si="94"/>
        <v>0</v>
      </c>
      <c r="AH206" s="1015">
        <f t="shared" si="90"/>
        <v>0</v>
      </c>
      <c r="AI206" s="1075">
        <f t="shared" si="91"/>
        <v>0</v>
      </c>
      <c r="AJ206" s="99"/>
      <c r="AK206" s="99"/>
      <c r="AL206" s="99"/>
      <c r="AM206" s="99"/>
    </row>
    <row r="207" spans="1:39" x14ac:dyDescent="0.2">
      <c r="A207" s="202">
        <v>2034</v>
      </c>
      <c r="B207" s="216">
        <v>0</v>
      </c>
      <c r="C207" s="217">
        <v>0</v>
      </c>
      <c r="D207" s="217">
        <v>0</v>
      </c>
      <c r="E207" s="217">
        <v>0</v>
      </c>
      <c r="F207" s="217">
        <v>0</v>
      </c>
      <c r="G207" s="217">
        <v>0</v>
      </c>
      <c r="H207" s="217">
        <v>0</v>
      </c>
      <c r="I207" s="217">
        <v>0</v>
      </c>
      <c r="J207" s="217">
        <v>0</v>
      </c>
      <c r="K207" s="217">
        <v>0</v>
      </c>
      <c r="L207" s="252">
        <v>0</v>
      </c>
      <c r="M207" s="168">
        <f t="shared" si="85"/>
        <v>0</v>
      </c>
      <c r="N207" s="170">
        <f t="shared" si="86"/>
        <v>0</v>
      </c>
      <c r="O207" s="216">
        <v>0</v>
      </c>
      <c r="P207" s="217">
        <v>0</v>
      </c>
      <c r="Q207" s="217">
        <v>0</v>
      </c>
      <c r="R207" s="217">
        <v>0</v>
      </c>
      <c r="S207" s="217">
        <v>0</v>
      </c>
      <c r="T207" s="217">
        <v>0</v>
      </c>
      <c r="U207" s="217">
        <v>0</v>
      </c>
      <c r="V207" s="217">
        <v>0</v>
      </c>
      <c r="W207" s="217">
        <v>0</v>
      </c>
      <c r="X207" s="217">
        <v>0</v>
      </c>
      <c r="Y207" s="252">
        <v>0</v>
      </c>
      <c r="Z207" s="168">
        <f t="shared" si="87"/>
        <v>0</v>
      </c>
      <c r="AA207" s="170">
        <f t="shared" si="88"/>
        <v>0</v>
      </c>
      <c r="AB207" s="795">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796">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069">
        <f t="shared" ref="AD207:AD223" si="95">AB207*AH207+AC207*AI207</f>
        <v>0</v>
      </c>
      <c r="AE207" s="1073">
        <f t="shared" si="92"/>
        <v>0</v>
      </c>
      <c r="AF207" s="1074">
        <f t="shared" si="93"/>
        <v>0</v>
      </c>
      <c r="AG207" s="1074">
        <f t="shared" si="94"/>
        <v>0</v>
      </c>
      <c r="AH207" s="1015">
        <f t="shared" si="90"/>
        <v>0</v>
      </c>
      <c r="AI207" s="1075">
        <f t="shared" si="91"/>
        <v>0</v>
      </c>
      <c r="AJ207" s="99"/>
      <c r="AK207" s="99"/>
      <c r="AL207" s="99"/>
      <c r="AM207" s="99"/>
    </row>
    <row r="208" spans="1:39" ht="13.5" thickBot="1" x14ac:dyDescent="0.25">
      <c r="A208" s="200">
        <v>2035</v>
      </c>
      <c r="B208" s="218">
        <v>0</v>
      </c>
      <c r="C208" s="219">
        <v>0</v>
      </c>
      <c r="D208" s="219">
        <v>0</v>
      </c>
      <c r="E208" s="219">
        <v>0</v>
      </c>
      <c r="F208" s="219">
        <v>0</v>
      </c>
      <c r="G208" s="219">
        <v>0</v>
      </c>
      <c r="H208" s="219">
        <v>0</v>
      </c>
      <c r="I208" s="219">
        <v>0</v>
      </c>
      <c r="J208" s="219">
        <v>0</v>
      </c>
      <c r="K208" s="219">
        <v>0</v>
      </c>
      <c r="L208" s="253">
        <v>0</v>
      </c>
      <c r="M208" s="182">
        <f t="shared" si="85"/>
        <v>0</v>
      </c>
      <c r="N208" s="184">
        <f t="shared" si="86"/>
        <v>0</v>
      </c>
      <c r="O208" s="218">
        <v>0</v>
      </c>
      <c r="P208" s="219">
        <v>0</v>
      </c>
      <c r="Q208" s="219">
        <v>0</v>
      </c>
      <c r="R208" s="219">
        <v>0</v>
      </c>
      <c r="S208" s="219">
        <v>0</v>
      </c>
      <c r="T208" s="219">
        <v>0</v>
      </c>
      <c r="U208" s="219">
        <v>0</v>
      </c>
      <c r="V208" s="219">
        <v>0</v>
      </c>
      <c r="W208" s="219">
        <v>0</v>
      </c>
      <c r="X208" s="219">
        <v>0</v>
      </c>
      <c r="Y208" s="253">
        <v>0</v>
      </c>
      <c r="Z208" s="182">
        <f t="shared" si="87"/>
        <v>0</v>
      </c>
      <c r="AA208" s="184">
        <f t="shared" si="88"/>
        <v>0</v>
      </c>
      <c r="AB208" s="795">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796">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069">
        <f t="shared" si="95"/>
        <v>0</v>
      </c>
      <c r="AE208" s="1073">
        <f t="shared" si="92"/>
        <v>0</v>
      </c>
      <c r="AF208" s="1074">
        <f t="shared" si="93"/>
        <v>0</v>
      </c>
      <c r="AG208" s="1074">
        <f t="shared" si="94"/>
        <v>0</v>
      </c>
      <c r="AH208" s="1015">
        <f t="shared" si="90"/>
        <v>0</v>
      </c>
      <c r="AI208" s="1075">
        <f t="shared" si="91"/>
        <v>0</v>
      </c>
      <c r="AJ208" s="99"/>
      <c r="AK208" s="99"/>
      <c r="AL208" s="99"/>
      <c r="AM208" s="99"/>
    </row>
    <row r="209" spans="1:39" x14ac:dyDescent="0.2">
      <c r="A209" s="201">
        <v>2036</v>
      </c>
      <c r="B209" s="214">
        <v>0</v>
      </c>
      <c r="C209" s="215">
        <v>0</v>
      </c>
      <c r="D209" s="215">
        <v>0</v>
      </c>
      <c r="E209" s="215">
        <v>0</v>
      </c>
      <c r="F209" s="215">
        <v>0</v>
      </c>
      <c r="G209" s="215">
        <v>0</v>
      </c>
      <c r="H209" s="215">
        <v>0</v>
      </c>
      <c r="I209" s="215">
        <v>0</v>
      </c>
      <c r="J209" s="215">
        <v>0</v>
      </c>
      <c r="K209" s="215">
        <v>0</v>
      </c>
      <c r="L209" s="251">
        <v>0</v>
      </c>
      <c r="M209" s="154">
        <f t="shared" si="85"/>
        <v>0</v>
      </c>
      <c r="N209" s="156">
        <f t="shared" si="86"/>
        <v>0</v>
      </c>
      <c r="O209" s="214">
        <v>0</v>
      </c>
      <c r="P209" s="215">
        <v>0</v>
      </c>
      <c r="Q209" s="215">
        <v>0</v>
      </c>
      <c r="R209" s="215">
        <v>0</v>
      </c>
      <c r="S209" s="215">
        <v>0</v>
      </c>
      <c r="T209" s="215">
        <v>0</v>
      </c>
      <c r="U209" s="215">
        <v>0</v>
      </c>
      <c r="V209" s="215">
        <v>0</v>
      </c>
      <c r="W209" s="215">
        <v>0</v>
      </c>
      <c r="X209" s="215">
        <v>0</v>
      </c>
      <c r="Y209" s="251">
        <v>0</v>
      </c>
      <c r="Z209" s="154">
        <f t="shared" si="87"/>
        <v>0</v>
      </c>
      <c r="AA209" s="156">
        <f t="shared" si="88"/>
        <v>0</v>
      </c>
      <c r="AB209" s="795">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796">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069">
        <f t="shared" si="95"/>
        <v>0</v>
      </c>
      <c r="AE209" s="1073">
        <f t="shared" si="92"/>
        <v>0</v>
      </c>
      <c r="AF209" s="1074">
        <f t="shared" si="93"/>
        <v>0</v>
      </c>
      <c r="AG209" s="1074">
        <f t="shared" si="94"/>
        <v>0</v>
      </c>
      <c r="AH209" s="1015">
        <f t="shared" si="90"/>
        <v>0</v>
      </c>
      <c r="AI209" s="1075">
        <f t="shared" si="91"/>
        <v>0</v>
      </c>
      <c r="AJ209" s="99"/>
      <c r="AK209" s="99"/>
      <c r="AL209" s="99"/>
      <c r="AM209" s="99"/>
    </row>
    <row r="210" spans="1:39" x14ac:dyDescent="0.2">
      <c r="A210" s="202">
        <v>2037</v>
      </c>
      <c r="B210" s="216">
        <v>0</v>
      </c>
      <c r="C210" s="217">
        <v>0</v>
      </c>
      <c r="D210" s="217">
        <v>0</v>
      </c>
      <c r="E210" s="217">
        <v>0</v>
      </c>
      <c r="F210" s="217">
        <v>0</v>
      </c>
      <c r="G210" s="217">
        <v>0</v>
      </c>
      <c r="H210" s="217">
        <v>0</v>
      </c>
      <c r="I210" s="217">
        <v>0</v>
      </c>
      <c r="J210" s="217">
        <v>0</v>
      </c>
      <c r="K210" s="217">
        <v>0</v>
      </c>
      <c r="L210" s="252">
        <v>0</v>
      </c>
      <c r="M210" s="168">
        <f t="shared" si="85"/>
        <v>0</v>
      </c>
      <c r="N210" s="170">
        <f t="shared" si="86"/>
        <v>0</v>
      </c>
      <c r="O210" s="216">
        <v>0</v>
      </c>
      <c r="P210" s="217">
        <v>0</v>
      </c>
      <c r="Q210" s="217">
        <v>0</v>
      </c>
      <c r="R210" s="217">
        <v>0</v>
      </c>
      <c r="S210" s="217">
        <v>0</v>
      </c>
      <c r="T210" s="217">
        <v>0</v>
      </c>
      <c r="U210" s="217">
        <v>0</v>
      </c>
      <c r="V210" s="217">
        <v>0</v>
      </c>
      <c r="W210" s="217">
        <v>0</v>
      </c>
      <c r="X210" s="217">
        <v>0</v>
      </c>
      <c r="Y210" s="252">
        <v>0</v>
      </c>
      <c r="Z210" s="168">
        <f t="shared" si="87"/>
        <v>0</v>
      </c>
      <c r="AA210" s="170">
        <f t="shared" si="88"/>
        <v>0</v>
      </c>
      <c r="AB210" s="795">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796">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069">
        <f t="shared" si="95"/>
        <v>0</v>
      </c>
      <c r="AE210" s="1073">
        <f t="shared" si="92"/>
        <v>0</v>
      </c>
      <c r="AF210" s="1074">
        <f t="shared" si="93"/>
        <v>0</v>
      </c>
      <c r="AG210" s="1074">
        <f t="shared" si="94"/>
        <v>0</v>
      </c>
      <c r="AH210" s="1015">
        <f t="shared" si="90"/>
        <v>0</v>
      </c>
      <c r="AI210" s="1075">
        <f t="shared" si="91"/>
        <v>0</v>
      </c>
      <c r="AJ210" s="99"/>
      <c r="AK210" s="99"/>
      <c r="AL210" s="99"/>
      <c r="AM210" s="99"/>
    </row>
    <row r="211" spans="1:39" x14ac:dyDescent="0.2">
      <c r="A211" s="202">
        <v>2038</v>
      </c>
      <c r="B211" s="216">
        <v>0</v>
      </c>
      <c r="C211" s="217">
        <v>0</v>
      </c>
      <c r="D211" s="217">
        <v>0</v>
      </c>
      <c r="E211" s="217">
        <v>0</v>
      </c>
      <c r="F211" s="217">
        <v>0</v>
      </c>
      <c r="G211" s="217">
        <v>0</v>
      </c>
      <c r="H211" s="217">
        <v>0</v>
      </c>
      <c r="I211" s="217">
        <v>0</v>
      </c>
      <c r="J211" s="217">
        <v>0</v>
      </c>
      <c r="K211" s="217">
        <v>0</v>
      </c>
      <c r="L211" s="252">
        <v>0</v>
      </c>
      <c r="M211" s="168">
        <f t="shared" si="85"/>
        <v>0</v>
      </c>
      <c r="N211" s="170">
        <f t="shared" si="86"/>
        <v>0</v>
      </c>
      <c r="O211" s="216">
        <v>0</v>
      </c>
      <c r="P211" s="217">
        <v>0</v>
      </c>
      <c r="Q211" s="217">
        <v>0</v>
      </c>
      <c r="R211" s="217">
        <v>0</v>
      </c>
      <c r="S211" s="217">
        <v>0</v>
      </c>
      <c r="T211" s="217">
        <v>0</v>
      </c>
      <c r="U211" s="217">
        <v>0</v>
      </c>
      <c r="V211" s="217">
        <v>0</v>
      </c>
      <c r="W211" s="217">
        <v>0</v>
      </c>
      <c r="X211" s="217">
        <v>0</v>
      </c>
      <c r="Y211" s="252">
        <v>0</v>
      </c>
      <c r="Z211" s="168">
        <f t="shared" si="87"/>
        <v>0</v>
      </c>
      <c r="AA211" s="170">
        <f t="shared" si="88"/>
        <v>0</v>
      </c>
      <c r="AB211" s="795">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796">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069">
        <f t="shared" si="95"/>
        <v>0</v>
      </c>
      <c r="AE211" s="1073">
        <f t="shared" si="92"/>
        <v>0</v>
      </c>
      <c r="AF211" s="1074">
        <f t="shared" si="93"/>
        <v>0</v>
      </c>
      <c r="AG211" s="1074">
        <f t="shared" si="94"/>
        <v>0</v>
      </c>
      <c r="AH211" s="1015">
        <f t="shared" si="90"/>
        <v>0</v>
      </c>
      <c r="AI211" s="1075">
        <f t="shared" si="91"/>
        <v>0</v>
      </c>
      <c r="AJ211" s="99"/>
      <c r="AK211" s="99"/>
      <c r="AL211" s="99"/>
      <c r="AM211" s="99"/>
    </row>
    <row r="212" spans="1:39" x14ac:dyDescent="0.2">
      <c r="A212" s="202">
        <v>2039</v>
      </c>
      <c r="B212" s="216">
        <v>0</v>
      </c>
      <c r="C212" s="217">
        <v>0</v>
      </c>
      <c r="D212" s="217">
        <v>0</v>
      </c>
      <c r="E212" s="217">
        <v>0</v>
      </c>
      <c r="F212" s="217">
        <v>0</v>
      </c>
      <c r="G212" s="217">
        <v>0</v>
      </c>
      <c r="H212" s="217">
        <v>0</v>
      </c>
      <c r="I212" s="217">
        <v>0</v>
      </c>
      <c r="J212" s="217">
        <v>0</v>
      </c>
      <c r="K212" s="217">
        <v>0</v>
      </c>
      <c r="L212" s="252">
        <v>0</v>
      </c>
      <c r="M212" s="168">
        <f t="shared" si="85"/>
        <v>0</v>
      </c>
      <c r="N212" s="170">
        <f t="shared" si="86"/>
        <v>0</v>
      </c>
      <c r="O212" s="216">
        <v>0</v>
      </c>
      <c r="P212" s="217">
        <v>0</v>
      </c>
      <c r="Q212" s="217">
        <v>0</v>
      </c>
      <c r="R212" s="217">
        <v>0</v>
      </c>
      <c r="S212" s="217">
        <v>0</v>
      </c>
      <c r="T212" s="217">
        <v>0</v>
      </c>
      <c r="U212" s="217">
        <v>0</v>
      </c>
      <c r="V212" s="217">
        <v>0</v>
      </c>
      <c r="W212" s="217">
        <v>0</v>
      </c>
      <c r="X212" s="217">
        <v>0</v>
      </c>
      <c r="Y212" s="252">
        <v>0</v>
      </c>
      <c r="Z212" s="168">
        <f t="shared" si="87"/>
        <v>0</v>
      </c>
      <c r="AA212" s="170">
        <f t="shared" si="88"/>
        <v>0</v>
      </c>
      <c r="AB212" s="795">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796">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069">
        <f t="shared" si="95"/>
        <v>0</v>
      </c>
      <c r="AE212" s="1073">
        <f t="shared" si="92"/>
        <v>0</v>
      </c>
      <c r="AF212" s="1074">
        <f t="shared" si="93"/>
        <v>0</v>
      </c>
      <c r="AG212" s="1074">
        <f t="shared" si="94"/>
        <v>0</v>
      </c>
      <c r="AH212" s="1015">
        <f t="shared" si="90"/>
        <v>0</v>
      </c>
      <c r="AI212" s="1075">
        <f t="shared" si="91"/>
        <v>0</v>
      </c>
      <c r="AJ212" s="99"/>
      <c r="AK212" s="99"/>
      <c r="AL212" s="99"/>
      <c r="AM212" s="99"/>
    </row>
    <row r="213" spans="1:39" ht="13.5" thickBot="1" x14ac:dyDescent="0.25">
      <c r="A213" s="200">
        <v>2040</v>
      </c>
      <c r="B213" s="218">
        <v>0</v>
      </c>
      <c r="C213" s="219">
        <v>0</v>
      </c>
      <c r="D213" s="219">
        <v>0</v>
      </c>
      <c r="E213" s="219">
        <v>0</v>
      </c>
      <c r="F213" s="219">
        <v>0</v>
      </c>
      <c r="G213" s="219">
        <v>0</v>
      </c>
      <c r="H213" s="219">
        <v>0</v>
      </c>
      <c r="I213" s="219">
        <v>0</v>
      </c>
      <c r="J213" s="219">
        <v>0</v>
      </c>
      <c r="K213" s="219">
        <v>0</v>
      </c>
      <c r="L213" s="253">
        <v>0</v>
      </c>
      <c r="M213" s="182">
        <f t="shared" si="85"/>
        <v>0</v>
      </c>
      <c r="N213" s="184">
        <f t="shared" si="86"/>
        <v>0</v>
      </c>
      <c r="O213" s="218">
        <v>0</v>
      </c>
      <c r="P213" s="219">
        <v>0</v>
      </c>
      <c r="Q213" s="219">
        <v>0</v>
      </c>
      <c r="R213" s="219">
        <v>0</v>
      </c>
      <c r="S213" s="219">
        <v>0</v>
      </c>
      <c r="T213" s="219">
        <v>0</v>
      </c>
      <c r="U213" s="219">
        <v>0</v>
      </c>
      <c r="V213" s="219">
        <v>0</v>
      </c>
      <c r="W213" s="219">
        <v>0</v>
      </c>
      <c r="X213" s="219">
        <v>0</v>
      </c>
      <c r="Y213" s="253">
        <v>0</v>
      </c>
      <c r="Z213" s="182">
        <f t="shared" si="87"/>
        <v>0</v>
      </c>
      <c r="AA213" s="184">
        <f t="shared" si="88"/>
        <v>0</v>
      </c>
      <c r="AB213" s="795">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796">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069">
        <f t="shared" si="95"/>
        <v>0</v>
      </c>
      <c r="AE213" s="1073">
        <f t="shared" si="92"/>
        <v>0</v>
      </c>
      <c r="AF213" s="1074">
        <f t="shared" si="93"/>
        <v>0</v>
      </c>
      <c r="AG213" s="1074">
        <f t="shared" si="94"/>
        <v>0</v>
      </c>
      <c r="AH213" s="1015">
        <f t="shared" si="90"/>
        <v>0</v>
      </c>
      <c r="AI213" s="1075">
        <f t="shared" si="91"/>
        <v>0</v>
      </c>
      <c r="AJ213" s="99"/>
      <c r="AK213" s="99"/>
      <c r="AL213" s="99"/>
      <c r="AM213" s="99"/>
    </row>
    <row r="214" spans="1:39" x14ac:dyDescent="0.2">
      <c r="A214" s="201">
        <v>2041</v>
      </c>
      <c r="B214" s="214">
        <v>0</v>
      </c>
      <c r="C214" s="215">
        <v>0</v>
      </c>
      <c r="D214" s="215">
        <v>0</v>
      </c>
      <c r="E214" s="215">
        <v>0</v>
      </c>
      <c r="F214" s="215">
        <v>0</v>
      </c>
      <c r="G214" s="215">
        <v>0</v>
      </c>
      <c r="H214" s="215">
        <v>0</v>
      </c>
      <c r="I214" s="215">
        <v>0</v>
      </c>
      <c r="J214" s="215">
        <v>0</v>
      </c>
      <c r="K214" s="215">
        <v>0</v>
      </c>
      <c r="L214" s="251">
        <v>0</v>
      </c>
      <c r="M214" s="154">
        <f t="shared" si="85"/>
        <v>0</v>
      </c>
      <c r="N214" s="156">
        <f t="shared" si="86"/>
        <v>0</v>
      </c>
      <c r="O214" s="214">
        <v>0</v>
      </c>
      <c r="P214" s="215">
        <v>0</v>
      </c>
      <c r="Q214" s="215">
        <v>0</v>
      </c>
      <c r="R214" s="215">
        <v>0</v>
      </c>
      <c r="S214" s="215">
        <v>0</v>
      </c>
      <c r="T214" s="215">
        <v>0</v>
      </c>
      <c r="U214" s="215">
        <v>0</v>
      </c>
      <c r="V214" s="215">
        <v>0</v>
      </c>
      <c r="W214" s="215">
        <v>0</v>
      </c>
      <c r="X214" s="215">
        <v>0</v>
      </c>
      <c r="Y214" s="251">
        <v>0</v>
      </c>
      <c r="Z214" s="154">
        <f t="shared" si="87"/>
        <v>0</v>
      </c>
      <c r="AA214" s="156">
        <f t="shared" si="88"/>
        <v>0</v>
      </c>
      <c r="AB214" s="795">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796">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069">
        <f t="shared" si="95"/>
        <v>0</v>
      </c>
      <c r="AE214" s="1073">
        <f t="shared" si="92"/>
        <v>0</v>
      </c>
      <c r="AF214" s="1074">
        <f t="shared" si="93"/>
        <v>0</v>
      </c>
      <c r="AG214" s="1074">
        <f t="shared" si="94"/>
        <v>0</v>
      </c>
      <c r="AH214" s="1015">
        <f t="shared" si="90"/>
        <v>0</v>
      </c>
      <c r="AI214" s="1075">
        <f t="shared" si="91"/>
        <v>0</v>
      </c>
      <c r="AJ214" s="99"/>
      <c r="AK214" s="99"/>
      <c r="AL214" s="99"/>
      <c r="AM214" s="99"/>
    </row>
    <row r="215" spans="1:39" x14ac:dyDescent="0.2">
      <c r="A215" s="202">
        <v>2042</v>
      </c>
      <c r="B215" s="216">
        <v>0</v>
      </c>
      <c r="C215" s="217">
        <v>0</v>
      </c>
      <c r="D215" s="217">
        <v>0</v>
      </c>
      <c r="E215" s="217">
        <v>0</v>
      </c>
      <c r="F215" s="217">
        <v>0</v>
      </c>
      <c r="G215" s="217">
        <v>0</v>
      </c>
      <c r="H215" s="217">
        <v>0</v>
      </c>
      <c r="I215" s="217">
        <v>0</v>
      </c>
      <c r="J215" s="217">
        <v>0</v>
      </c>
      <c r="K215" s="217">
        <v>0</v>
      </c>
      <c r="L215" s="252">
        <v>0</v>
      </c>
      <c r="M215" s="168">
        <f t="shared" si="85"/>
        <v>0</v>
      </c>
      <c r="N215" s="170">
        <f t="shared" si="86"/>
        <v>0</v>
      </c>
      <c r="O215" s="216">
        <v>0</v>
      </c>
      <c r="P215" s="217">
        <v>0</v>
      </c>
      <c r="Q215" s="217">
        <v>0</v>
      </c>
      <c r="R215" s="217">
        <v>0</v>
      </c>
      <c r="S215" s="217">
        <v>0</v>
      </c>
      <c r="T215" s="217">
        <v>0</v>
      </c>
      <c r="U215" s="217">
        <v>0</v>
      </c>
      <c r="V215" s="217">
        <v>0</v>
      </c>
      <c r="W215" s="217">
        <v>0</v>
      </c>
      <c r="X215" s="217">
        <v>0</v>
      </c>
      <c r="Y215" s="252">
        <v>0</v>
      </c>
      <c r="Z215" s="168">
        <f t="shared" si="87"/>
        <v>0</v>
      </c>
      <c r="AA215" s="170">
        <f t="shared" si="88"/>
        <v>0</v>
      </c>
      <c r="AB215" s="795">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796">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069">
        <f t="shared" si="95"/>
        <v>0</v>
      </c>
      <c r="AE215" s="1073">
        <f t="shared" si="92"/>
        <v>0</v>
      </c>
      <c r="AF215" s="1074">
        <f t="shared" si="93"/>
        <v>0</v>
      </c>
      <c r="AG215" s="1074">
        <f t="shared" si="94"/>
        <v>0</v>
      </c>
      <c r="AH215" s="1015">
        <f t="shared" si="90"/>
        <v>0</v>
      </c>
      <c r="AI215" s="1075">
        <f t="shared" si="91"/>
        <v>0</v>
      </c>
      <c r="AJ215" s="99"/>
      <c r="AK215" s="99"/>
      <c r="AL215" s="99"/>
      <c r="AM215" s="99"/>
    </row>
    <row r="216" spans="1:39" x14ac:dyDescent="0.2">
      <c r="A216" s="202">
        <v>2043</v>
      </c>
      <c r="B216" s="216">
        <v>0</v>
      </c>
      <c r="C216" s="217">
        <v>0</v>
      </c>
      <c r="D216" s="217">
        <v>0</v>
      </c>
      <c r="E216" s="217">
        <v>0</v>
      </c>
      <c r="F216" s="217">
        <v>0</v>
      </c>
      <c r="G216" s="217">
        <v>0</v>
      </c>
      <c r="H216" s="217">
        <v>0</v>
      </c>
      <c r="I216" s="217">
        <v>0</v>
      </c>
      <c r="J216" s="217">
        <v>0</v>
      </c>
      <c r="K216" s="217">
        <v>0</v>
      </c>
      <c r="L216" s="252">
        <v>0</v>
      </c>
      <c r="M216" s="168">
        <f t="shared" si="85"/>
        <v>0</v>
      </c>
      <c r="N216" s="170">
        <f t="shared" si="86"/>
        <v>0</v>
      </c>
      <c r="O216" s="216">
        <v>0</v>
      </c>
      <c r="P216" s="217">
        <v>0</v>
      </c>
      <c r="Q216" s="217">
        <v>2.8379177627505621E-4</v>
      </c>
      <c r="R216" s="217">
        <v>0</v>
      </c>
      <c r="S216" s="217">
        <v>0</v>
      </c>
      <c r="T216" s="217">
        <v>0</v>
      </c>
      <c r="U216" s="217">
        <v>0</v>
      </c>
      <c r="V216" s="217">
        <v>0</v>
      </c>
      <c r="W216" s="217">
        <v>0</v>
      </c>
      <c r="X216" s="217">
        <v>0</v>
      </c>
      <c r="Y216" s="252">
        <v>0</v>
      </c>
      <c r="Z216" s="168">
        <f t="shared" si="87"/>
        <v>2.3791997432897357E-5</v>
      </c>
      <c r="AA216" s="170">
        <f t="shared" si="88"/>
        <v>1.3216786198963876E-5</v>
      </c>
      <c r="AB216" s="795">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796">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069">
        <f t="shared" si="95"/>
        <v>0</v>
      </c>
      <c r="AE216" s="1073">
        <f t="shared" si="92"/>
        <v>0</v>
      </c>
      <c r="AF216" s="1074">
        <f t="shared" si="93"/>
        <v>2.3791997432897357E-5</v>
      </c>
      <c r="AG216" s="1074">
        <f t="shared" si="94"/>
        <v>2.3791997432897357E-5</v>
      </c>
      <c r="AH216" s="1015">
        <f t="shared" si="90"/>
        <v>0</v>
      </c>
      <c r="AI216" s="1075">
        <f t="shared" si="91"/>
        <v>1</v>
      </c>
      <c r="AJ216" s="99"/>
      <c r="AK216" s="99"/>
      <c r="AL216" s="99"/>
      <c r="AM216" s="99"/>
    </row>
    <row r="217" spans="1:39" x14ac:dyDescent="0.2">
      <c r="A217" s="202">
        <v>2044</v>
      </c>
      <c r="B217" s="216">
        <v>0</v>
      </c>
      <c r="C217" s="217">
        <v>0</v>
      </c>
      <c r="D217" s="217">
        <v>4.2760929962315066E-3</v>
      </c>
      <c r="E217" s="217">
        <v>0</v>
      </c>
      <c r="F217" s="217">
        <v>0</v>
      </c>
      <c r="G217" s="217">
        <v>0</v>
      </c>
      <c r="H217" s="217">
        <v>0</v>
      </c>
      <c r="I217" s="217">
        <v>0</v>
      </c>
      <c r="J217" s="217">
        <v>0</v>
      </c>
      <c r="K217" s="217">
        <v>0</v>
      </c>
      <c r="L217" s="252">
        <v>0</v>
      </c>
      <c r="M217" s="168">
        <f t="shared" si="85"/>
        <v>3.8069242753679603E-4</v>
      </c>
      <c r="N217" s="170">
        <f t="shared" si="86"/>
        <v>2.1740835757873476E-4</v>
      </c>
      <c r="O217" s="216">
        <v>0</v>
      </c>
      <c r="P217" s="217">
        <v>0</v>
      </c>
      <c r="Q217" s="217">
        <v>9.8639632439820393E-3</v>
      </c>
      <c r="R217" s="217">
        <v>0</v>
      </c>
      <c r="S217" s="217">
        <v>0</v>
      </c>
      <c r="T217" s="217">
        <v>0</v>
      </c>
      <c r="U217" s="217">
        <v>0</v>
      </c>
      <c r="V217" s="217">
        <v>0</v>
      </c>
      <c r="W217" s="217">
        <v>0</v>
      </c>
      <c r="X217" s="217">
        <v>0</v>
      </c>
      <c r="Y217" s="252">
        <v>0</v>
      </c>
      <c r="Z217" s="168">
        <f t="shared" si="87"/>
        <v>8.2695626793482244E-4</v>
      </c>
      <c r="AA217" s="170">
        <f t="shared" si="88"/>
        <v>4.5938573337583915E-4</v>
      </c>
      <c r="AB217" s="795">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796">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069">
        <f t="shared" si="95"/>
        <v>0</v>
      </c>
      <c r="AE217" s="1073">
        <f t="shared" si="92"/>
        <v>3.8069242753679603E-4</v>
      </c>
      <c r="AF217" s="1074">
        <f t="shared" si="93"/>
        <v>8.2695626793482244E-4</v>
      </c>
      <c r="AG217" s="1074">
        <f t="shared" si="94"/>
        <v>1.2076486954716184E-3</v>
      </c>
      <c r="AH217" s="1015">
        <f t="shared" si="90"/>
        <v>0.31523441292513105</v>
      </c>
      <c r="AI217" s="1075">
        <f t="shared" si="91"/>
        <v>0.68476558707486901</v>
      </c>
      <c r="AJ217" s="99"/>
      <c r="AK217" s="99"/>
      <c r="AL217" s="99"/>
      <c r="AM217" s="99"/>
    </row>
    <row r="218" spans="1:39" ht="13.5" thickBot="1" x14ac:dyDescent="0.25">
      <c r="A218" s="200">
        <v>2045</v>
      </c>
      <c r="B218" s="218">
        <v>0</v>
      </c>
      <c r="C218" s="219">
        <v>7.2824027260993344E-4</v>
      </c>
      <c r="D218" s="219">
        <v>3.7982550473309333E-2</v>
      </c>
      <c r="E218" s="219">
        <v>0</v>
      </c>
      <c r="F218" s="219">
        <v>0</v>
      </c>
      <c r="G218" s="219">
        <v>0</v>
      </c>
      <c r="H218" s="219">
        <v>0</v>
      </c>
      <c r="I218" s="219">
        <v>0</v>
      </c>
      <c r="J218" s="219">
        <v>0</v>
      </c>
      <c r="K218" s="219">
        <v>0</v>
      </c>
      <c r="L218" s="253">
        <v>0</v>
      </c>
      <c r="M218" s="182">
        <f t="shared" si="85"/>
        <v>3.4911303676900293E-3</v>
      </c>
      <c r="N218" s="184">
        <f t="shared" si="86"/>
        <v>2.0341839553007597E-3</v>
      </c>
      <c r="O218" s="218">
        <v>0</v>
      </c>
      <c r="P218" s="219">
        <v>1.8563590155272749E-3</v>
      </c>
      <c r="Q218" s="219">
        <v>5.0885810274174326E-2</v>
      </c>
      <c r="R218" s="219">
        <v>0</v>
      </c>
      <c r="S218" s="219">
        <v>0</v>
      </c>
      <c r="T218" s="219">
        <v>0</v>
      </c>
      <c r="U218" s="219">
        <v>0</v>
      </c>
      <c r="V218" s="219">
        <v>0</v>
      </c>
      <c r="W218" s="219">
        <v>0</v>
      </c>
      <c r="X218" s="219">
        <v>0</v>
      </c>
      <c r="Y218" s="253">
        <v>0</v>
      </c>
      <c r="Z218" s="182">
        <f t="shared" si="87"/>
        <v>4.7670476756767879E-3</v>
      </c>
      <c r="AA218" s="184">
        <f t="shared" si="88"/>
        <v>2.8452822504275513E-3</v>
      </c>
      <c r="AB218" s="795">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796">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069">
        <f t="shared" si="95"/>
        <v>0</v>
      </c>
      <c r="AE218" s="1073">
        <f t="shared" si="92"/>
        <v>3.4911303676900293E-3</v>
      </c>
      <c r="AF218" s="1074">
        <f t="shared" si="93"/>
        <v>4.7670476756767879E-3</v>
      </c>
      <c r="AG218" s="1074">
        <f t="shared" si="94"/>
        <v>8.2581780433668168E-3</v>
      </c>
      <c r="AH218" s="1015">
        <f t="shared" si="90"/>
        <v>0.42274825625662016</v>
      </c>
      <c r="AI218" s="1075">
        <f t="shared" si="91"/>
        <v>0.57725174374337984</v>
      </c>
      <c r="AJ218" s="99"/>
      <c r="AK218" s="99"/>
      <c r="AL218" s="99"/>
      <c r="AM218" s="99"/>
    </row>
    <row r="219" spans="1:39" x14ac:dyDescent="0.2">
      <c r="A219" s="201">
        <v>2046</v>
      </c>
      <c r="B219" s="214">
        <v>0</v>
      </c>
      <c r="C219" s="215">
        <v>1.2681571642924067E-2</v>
      </c>
      <c r="D219" s="215">
        <v>8.2844721469233287E-2</v>
      </c>
      <c r="E219" s="215">
        <v>0</v>
      </c>
      <c r="F219" s="215">
        <v>0</v>
      </c>
      <c r="G219" s="215">
        <v>0</v>
      </c>
      <c r="H219" s="215">
        <v>0</v>
      </c>
      <c r="I219" s="215">
        <v>0</v>
      </c>
      <c r="J219" s="215">
        <v>0</v>
      </c>
      <c r="K219" s="215">
        <v>0</v>
      </c>
      <c r="L219" s="251">
        <v>0</v>
      </c>
      <c r="M219" s="154">
        <f t="shared" si="85"/>
        <v>9.2843626402787267E-3</v>
      </c>
      <c r="N219" s="156">
        <f t="shared" si="86"/>
        <v>6.0065028588089635E-3</v>
      </c>
      <c r="O219" s="214">
        <v>0</v>
      </c>
      <c r="P219" s="215">
        <v>1.9707810351311882E-2</v>
      </c>
      <c r="Q219" s="215">
        <v>9.7312499313130588E-2</v>
      </c>
      <c r="R219" s="215">
        <v>0</v>
      </c>
      <c r="S219" s="215">
        <v>0</v>
      </c>
      <c r="T219" s="215">
        <v>0</v>
      </c>
      <c r="U219" s="215">
        <v>0</v>
      </c>
      <c r="V219" s="215">
        <v>0</v>
      </c>
      <c r="W219" s="215">
        <v>0</v>
      </c>
      <c r="X219" s="215">
        <v>0</v>
      </c>
      <c r="Y219" s="251">
        <v>0</v>
      </c>
      <c r="Z219" s="154">
        <f t="shared" si="87"/>
        <v>1.3476889029816308E-2</v>
      </c>
      <c r="AA219" s="156">
        <f t="shared" si="88"/>
        <v>9.579308993891731E-3</v>
      </c>
      <c r="AB219" s="795">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796">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069">
        <f t="shared" si="95"/>
        <v>0</v>
      </c>
      <c r="AE219" s="1073">
        <f t="shared" si="92"/>
        <v>9.2843626402787267E-3</v>
      </c>
      <c r="AF219" s="1074">
        <f t="shared" si="93"/>
        <v>1.3476889029816308E-2</v>
      </c>
      <c r="AG219" s="1074">
        <f t="shared" si="94"/>
        <v>2.2761251670095035E-2</v>
      </c>
      <c r="AH219" s="1015">
        <f t="shared" si="90"/>
        <v>0.4079021125396643</v>
      </c>
      <c r="AI219" s="1075">
        <f t="shared" si="91"/>
        <v>0.59209788746033576</v>
      </c>
      <c r="AJ219" s="99"/>
      <c r="AK219" s="99"/>
      <c r="AL219" s="99"/>
      <c r="AM219" s="99"/>
    </row>
    <row r="220" spans="1:39" x14ac:dyDescent="0.2">
      <c r="A220" s="202">
        <v>2047</v>
      </c>
      <c r="B220" s="216">
        <v>0</v>
      </c>
      <c r="C220" s="217">
        <v>4.7835418813368731E-2</v>
      </c>
      <c r="D220" s="217">
        <v>0.12947462159496162</v>
      </c>
      <c r="E220" s="217">
        <v>0</v>
      </c>
      <c r="F220" s="217">
        <v>0</v>
      </c>
      <c r="G220" s="217">
        <v>0</v>
      </c>
      <c r="H220" s="217">
        <v>0</v>
      </c>
      <c r="I220" s="217">
        <v>0</v>
      </c>
      <c r="J220" s="217">
        <v>0</v>
      </c>
      <c r="K220" s="217">
        <v>0</v>
      </c>
      <c r="L220" s="252">
        <v>0</v>
      </c>
      <c r="M220" s="168">
        <f t="shared" si="85"/>
        <v>1.8727158883380113E-2</v>
      </c>
      <c r="N220" s="170">
        <f t="shared" si="86"/>
        <v>1.3351582715979537E-2</v>
      </c>
      <c r="O220" s="216">
        <v>0</v>
      </c>
      <c r="P220" s="217">
        <v>6.0469278100025434E-2</v>
      </c>
      <c r="Q220" s="217">
        <v>0.13679672885914906</v>
      </c>
      <c r="R220" s="217">
        <v>0</v>
      </c>
      <c r="S220" s="217">
        <v>0</v>
      </c>
      <c r="T220" s="217">
        <v>0</v>
      </c>
      <c r="U220" s="217">
        <v>0</v>
      </c>
      <c r="V220" s="217">
        <v>0</v>
      </c>
      <c r="W220" s="217">
        <v>0</v>
      </c>
      <c r="X220" s="217">
        <v>0</v>
      </c>
      <c r="Y220" s="252">
        <v>0</v>
      </c>
      <c r="Z220" s="168">
        <f t="shared" si="87"/>
        <v>2.7787475689465966E-2</v>
      </c>
      <c r="AA220" s="170">
        <f t="shared" si="88"/>
        <v>2.1857369121066478E-2</v>
      </c>
      <c r="AB220" s="795">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796">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069">
        <f t="shared" si="95"/>
        <v>0</v>
      </c>
      <c r="AE220" s="1073">
        <f t="shared" si="92"/>
        <v>1.8727158883380113E-2</v>
      </c>
      <c r="AF220" s="1074">
        <f t="shared" si="93"/>
        <v>2.7787475689465966E-2</v>
      </c>
      <c r="AG220" s="1074">
        <f t="shared" si="94"/>
        <v>4.6514634572846075E-2</v>
      </c>
      <c r="AH220" s="1015">
        <f t="shared" si="90"/>
        <v>0.40260789008353293</v>
      </c>
      <c r="AI220" s="1075">
        <f t="shared" si="91"/>
        <v>0.59739210991646718</v>
      </c>
      <c r="AJ220" s="99"/>
      <c r="AK220" s="99"/>
      <c r="AL220" s="99"/>
      <c r="AM220" s="99"/>
    </row>
    <row r="221" spans="1:39" x14ac:dyDescent="0.2">
      <c r="A221" s="202">
        <v>2048</v>
      </c>
      <c r="B221" s="216">
        <v>0</v>
      </c>
      <c r="C221" s="217">
        <v>8.6338500394854786E-2</v>
      </c>
      <c r="D221" s="217">
        <v>0.15602171489297606</v>
      </c>
      <c r="E221" s="217">
        <v>0</v>
      </c>
      <c r="F221" s="217">
        <v>0</v>
      </c>
      <c r="G221" s="217">
        <v>0</v>
      </c>
      <c r="H221" s="217">
        <v>0</v>
      </c>
      <c r="I221" s="217">
        <v>0</v>
      </c>
      <c r="J221" s="217">
        <v>0</v>
      </c>
      <c r="K221" s="217">
        <v>0</v>
      </c>
      <c r="L221" s="252">
        <v>0</v>
      </c>
      <c r="M221" s="168">
        <f t="shared" si="85"/>
        <v>2.688615425292086E-2</v>
      </c>
      <c r="N221" s="170">
        <f t="shared" si="86"/>
        <v>2.0149515668259545E-2</v>
      </c>
      <c r="O221" s="216">
        <v>0</v>
      </c>
      <c r="P221" s="217">
        <v>9.6589963334671652E-2</v>
      </c>
      <c r="Q221" s="217">
        <v>0.16302912381448792</v>
      </c>
      <c r="R221" s="217">
        <v>0</v>
      </c>
      <c r="S221" s="217">
        <v>0</v>
      </c>
      <c r="T221" s="217">
        <v>0</v>
      </c>
      <c r="U221" s="217">
        <v>0</v>
      </c>
      <c r="V221" s="217">
        <v>0</v>
      </c>
      <c r="W221" s="217">
        <v>0</v>
      </c>
      <c r="X221" s="217">
        <v>0</v>
      </c>
      <c r="Y221" s="252">
        <v>0</v>
      </c>
      <c r="Z221" s="168">
        <f t="shared" si="87"/>
        <v>3.9734662450620926E-2</v>
      </c>
      <c r="AA221" s="170">
        <f t="shared" si="88"/>
        <v>3.2329737823843963E-2</v>
      </c>
      <c r="AB221" s="795">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796">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069">
        <f t="shared" si="95"/>
        <v>0</v>
      </c>
      <c r="AE221" s="1073">
        <f t="shared" si="92"/>
        <v>2.688615425292086E-2</v>
      </c>
      <c r="AF221" s="1074">
        <f t="shared" si="93"/>
        <v>3.9734662450620926E-2</v>
      </c>
      <c r="AG221" s="1074">
        <f t="shared" si="94"/>
        <v>6.662081670354178E-2</v>
      </c>
      <c r="AH221" s="1015">
        <f t="shared" si="90"/>
        <v>0.40356986874781897</v>
      </c>
      <c r="AI221" s="1075">
        <f t="shared" si="91"/>
        <v>0.59643013125218114</v>
      </c>
      <c r="AJ221" s="99"/>
      <c r="AK221" s="99"/>
      <c r="AL221" s="99"/>
      <c r="AM221" s="99"/>
    </row>
    <row r="222" spans="1:39" x14ac:dyDescent="0.2">
      <c r="A222" s="202">
        <v>2049</v>
      </c>
      <c r="B222" s="216">
        <v>7.6104594135174592E-4</v>
      </c>
      <c r="C222" s="217">
        <v>0.12013952377876175</v>
      </c>
      <c r="D222" s="217">
        <v>0.16898017670270882</v>
      </c>
      <c r="E222" s="217">
        <v>0</v>
      </c>
      <c r="F222" s="217">
        <v>0</v>
      </c>
      <c r="G222" s="217">
        <v>0</v>
      </c>
      <c r="H222" s="217">
        <v>0</v>
      </c>
      <c r="I222" s="217">
        <v>0</v>
      </c>
      <c r="J222" s="217">
        <v>0</v>
      </c>
      <c r="K222" s="217">
        <v>0</v>
      </c>
      <c r="L222" s="252">
        <v>0</v>
      </c>
      <c r="M222" s="168">
        <f t="shared" si="85"/>
        <v>3.3184244258187598E-2</v>
      </c>
      <c r="N222" s="170">
        <f t="shared" si="86"/>
        <v>2.5716720398598712E-2</v>
      </c>
      <c r="O222" s="216">
        <v>6.527485656430763E-4</v>
      </c>
      <c r="P222" s="217">
        <v>0.13070407068681258</v>
      </c>
      <c r="Q222" s="217">
        <v>0.17504786883874129</v>
      </c>
      <c r="R222" s="217">
        <v>0</v>
      </c>
      <c r="S222" s="217">
        <v>0</v>
      </c>
      <c r="T222" s="217">
        <v>0</v>
      </c>
      <c r="U222" s="217">
        <v>0</v>
      </c>
      <c r="V222" s="217">
        <v>0</v>
      </c>
      <c r="W222" s="217">
        <v>0</v>
      </c>
      <c r="X222" s="217">
        <v>0</v>
      </c>
      <c r="Y222" s="252">
        <v>0</v>
      </c>
      <c r="Z222" s="168">
        <f t="shared" si="87"/>
        <v>5.0023658733686478E-2</v>
      </c>
      <c r="AA222" s="170">
        <f t="shared" si="88"/>
        <v>4.1804610029372802E-2</v>
      </c>
      <c r="AB222" s="795">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796">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069">
        <f t="shared" si="95"/>
        <v>0</v>
      </c>
      <c r="AE222" s="1073">
        <f t="shared" si="92"/>
        <v>3.3184244258187598E-2</v>
      </c>
      <c r="AF222" s="1074">
        <f t="shared" si="93"/>
        <v>5.0023658733686478E-2</v>
      </c>
      <c r="AG222" s="1074">
        <f t="shared" si="94"/>
        <v>8.3207902991874083E-2</v>
      </c>
      <c r="AH222" s="1015">
        <f t="shared" si="90"/>
        <v>0.39881120740932868</v>
      </c>
      <c r="AI222" s="1075">
        <f t="shared" si="91"/>
        <v>0.60118879259067115</v>
      </c>
      <c r="AJ222" s="99"/>
      <c r="AK222" s="99"/>
      <c r="AL222" s="99"/>
      <c r="AM222" s="99"/>
    </row>
    <row r="223" spans="1:39" ht="13.5" thickBot="1" x14ac:dyDescent="0.25">
      <c r="A223" s="200">
        <v>2050</v>
      </c>
      <c r="B223" s="218">
        <v>3.6981050526216031E-2</v>
      </c>
      <c r="C223" s="219">
        <v>0.1887327809261469</v>
      </c>
      <c r="D223" s="219">
        <v>0.19876545877236629</v>
      </c>
      <c r="E223" s="219">
        <v>0</v>
      </c>
      <c r="F223" s="219">
        <v>0</v>
      </c>
      <c r="G223" s="219">
        <v>0</v>
      </c>
      <c r="H223" s="219">
        <v>0</v>
      </c>
      <c r="I223" s="219">
        <v>0</v>
      </c>
      <c r="J223" s="219">
        <v>0</v>
      </c>
      <c r="K223" s="219">
        <v>0</v>
      </c>
      <c r="L223" s="253">
        <v>0</v>
      </c>
      <c r="M223" s="182">
        <f t="shared" si="85"/>
        <v>4.8855800835015756E-2</v>
      </c>
      <c r="N223" s="184">
        <f t="shared" si="86"/>
        <v>4.2909860224230614E-2</v>
      </c>
      <c r="O223" s="218">
        <v>3.7674919280606158E-2</v>
      </c>
      <c r="P223" s="219">
        <v>0.19060675103417804</v>
      </c>
      <c r="Q223" s="219">
        <v>0.19971005061430155</v>
      </c>
      <c r="R223" s="219">
        <v>0</v>
      </c>
      <c r="S223" s="219">
        <v>0</v>
      </c>
      <c r="T223" s="219">
        <v>0</v>
      </c>
      <c r="U223" s="219">
        <v>0</v>
      </c>
      <c r="V223" s="219">
        <v>0</v>
      </c>
      <c r="W223" s="219">
        <v>0</v>
      </c>
      <c r="X223" s="219">
        <v>0</v>
      </c>
      <c r="Y223" s="253">
        <v>0</v>
      </c>
      <c r="Z223" s="182">
        <f t="shared" si="87"/>
        <v>7.2508037984167675E-2</v>
      </c>
      <c r="AA223" s="184">
        <f t="shared" si="88"/>
        <v>6.8410465386058439E-2</v>
      </c>
      <c r="AB223" s="797">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798">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070">
        <f t="shared" si="95"/>
        <v>0</v>
      </c>
      <c r="AE223" s="1076">
        <f t="shared" si="92"/>
        <v>4.8855800835015756E-2</v>
      </c>
      <c r="AF223" s="1077">
        <f t="shared" si="93"/>
        <v>7.2508037984167675E-2</v>
      </c>
      <c r="AG223" s="1077">
        <f t="shared" si="94"/>
        <v>0.12136383881918343</v>
      </c>
      <c r="AH223" s="1078">
        <f t="shared" si="90"/>
        <v>0.4025564889044474</v>
      </c>
      <c r="AI223" s="1079">
        <f t="shared" si="91"/>
        <v>0.5974435110955526</v>
      </c>
      <c r="AJ223" s="99"/>
      <c r="AK223" s="99"/>
      <c r="AL223" s="99"/>
      <c r="AM223" s="99"/>
    </row>
    <row r="224" spans="1:39" x14ac:dyDescent="0.2">
      <c r="B224" s="99" t="s">
        <v>240</v>
      </c>
      <c r="U224" s="99" t="s">
        <v>240</v>
      </c>
      <c r="AI224" s="99"/>
    </row>
    <row r="225" spans="1:35" x14ac:dyDescent="0.2">
      <c r="AI225" s="99"/>
    </row>
    <row r="226" spans="1:35" ht="13.5" thickBot="1" x14ac:dyDescent="0.25">
      <c r="AI226" s="99"/>
    </row>
    <row r="227" spans="1:35" ht="15" x14ac:dyDescent="0.25">
      <c r="A227" s="205"/>
      <c r="B227" s="460" t="s">
        <v>216</v>
      </c>
      <c r="C227" s="461"/>
      <c r="D227" s="461"/>
      <c r="E227" s="461"/>
      <c r="F227" s="461"/>
      <c r="G227" s="461"/>
      <c r="H227" s="461"/>
      <c r="I227" s="461"/>
      <c r="J227" s="461"/>
      <c r="K227" s="461"/>
      <c r="L227" s="461"/>
      <c r="M227" s="461"/>
      <c r="N227" s="462"/>
      <c r="O227" s="460" t="s">
        <v>217</v>
      </c>
      <c r="P227" s="461"/>
      <c r="Q227" s="461"/>
      <c r="R227" s="461"/>
      <c r="S227" s="461"/>
      <c r="T227" s="461"/>
      <c r="U227" s="461"/>
      <c r="V227" s="461"/>
      <c r="W227" s="461"/>
      <c r="X227" s="461"/>
      <c r="Y227" s="461"/>
      <c r="Z227" s="461"/>
      <c r="AA227" s="462"/>
    </row>
    <row r="228" spans="1:35" x14ac:dyDescent="0.2">
      <c r="A228" s="196"/>
      <c r="B228" s="463" t="s">
        <v>121</v>
      </c>
      <c r="C228" s="464"/>
      <c r="D228" s="464"/>
      <c r="E228" s="464"/>
      <c r="F228" s="464"/>
      <c r="G228" s="464"/>
      <c r="H228" s="464"/>
      <c r="I228" s="464"/>
      <c r="J228" s="464"/>
      <c r="K228" s="464"/>
      <c r="L228" s="464"/>
      <c r="M228" s="254"/>
      <c r="N228" s="197"/>
      <c r="O228" s="463" t="s">
        <v>121</v>
      </c>
      <c r="P228" s="464"/>
      <c r="Q228" s="464"/>
      <c r="R228" s="464"/>
      <c r="S228" s="464"/>
      <c r="T228" s="464"/>
      <c r="U228" s="464"/>
      <c r="V228" s="464"/>
      <c r="W228" s="464"/>
      <c r="X228" s="464"/>
      <c r="Y228" s="464"/>
      <c r="Z228" s="254"/>
      <c r="AA228" s="197"/>
      <c r="AC228" s="801" t="s">
        <v>267</v>
      </c>
      <c r="AD228" s="106" t="b">
        <f>INDEX(TECH_OPT_FUEL2_Cls3,MATCH(RIGHT(O227),TECH_OPT_ROWS_Cls3,0))&lt;&gt;"N/A"</f>
        <v>0</v>
      </c>
    </row>
    <row r="229" spans="1:35" ht="13.5" thickBot="1" x14ac:dyDescent="0.25">
      <c r="A229" s="203"/>
      <c r="B229" s="210" t="s">
        <v>28</v>
      </c>
      <c r="C229" s="211" t="s">
        <v>29</v>
      </c>
      <c r="D229" s="211" t="s">
        <v>30</v>
      </c>
      <c r="E229" s="211" t="s">
        <v>31</v>
      </c>
      <c r="F229" s="211" t="s">
        <v>32</v>
      </c>
      <c r="G229" s="211" t="s">
        <v>33</v>
      </c>
      <c r="H229" s="211" t="s">
        <v>34</v>
      </c>
      <c r="I229" s="211" t="s">
        <v>35</v>
      </c>
      <c r="J229" s="211" t="s">
        <v>36</v>
      </c>
      <c r="K229" s="211" t="s">
        <v>37</v>
      </c>
      <c r="L229" s="249" t="s">
        <v>38</v>
      </c>
      <c r="M229" s="255" t="s">
        <v>122</v>
      </c>
      <c r="N229" s="204" t="s">
        <v>123</v>
      </c>
      <c r="O229" s="210" t="s">
        <v>28</v>
      </c>
      <c r="P229" s="211" t="s">
        <v>29</v>
      </c>
      <c r="Q229" s="211" t="s">
        <v>30</v>
      </c>
      <c r="R229" s="211" t="s">
        <v>31</v>
      </c>
      <c r="S229" s="211" t="s">
        <v>32</v>
      </c>
      <c r="T229" s="211" t="s">
        <v>33</v>
      </c>
      <c r="U229" s="211" t="s">
        <v>34</v>
      </c>
      <c r="V229" s="211" t="s">
        <v>35</v>
      </c>
      <c r="W229" s="211" t="s">
        <v>36</v>
      </c>
      <c r="X229" s="211" t="s">
        <v>37</v>
      </c>
      <c r="Y229" s="249" t="s">
        <v>38</v>
      </c>
      <c r="Z229" s="255" t="s">
        <v>122</v>
      </c>
      <c r="AA229" s="204" t="s">
        <v>123</v>
      </c>
      <c r="AB229" s="783"/>
      <c r="AC229" s="801" t="s">
        <v>268</v>
      </c>
      <c r="AD229" s="106">
        <f>MATCH(RIGHT(O227),TECH_OPT_ROWS_Cls3,0)</f>
        <v>5</v>
      </c>
    </row>
    <row r="230" spans="1:35" ht="14.25" thickTop="1" thickBot="1" x14ac:dyDescent="0.25">
      <c r="A230" s="220" t="s">
        <v>124</v>
      </c>
      <c r="B230" s="212">
        <f t="array" ref="B230:L230">TRANSPOSE(Cls3CentTruckShr)</f>
        <v>0.16490316390132354</v>
      </c>
      <c r="C230" s="213">
        <v>0.14150050624583405</v>
      </c>
      <c r="D230" s="213">
        <v>5.0842757108027201E-2</v>
      </c>
      <c r="E230" s="213">
        <v>1.7493235097392132E-2</v>
      </c>
      <c r="F230" s="213">
        <v>6.5645600537602268E-3</v>
      </c>
      <c r="G230" s="213">
        <v>1.3068268788829179E-4</v>
      </c>
      <c r="H230" s="213">
        <v>2.9863696966199553E-3</v>
      </c>
      <c r="I230" s="213">
        <v>0</v>
      </c>
      <c r="J230" s="213">
        <v>0</v>
      </c>
      <c r="K230" s="213">
        <v>5.0573390409248292E-4</v>
      </c>
      <c r="L230" s="250">
        <v>0</v>
      </c>
      <c r="M230" s="256"/>
      <c r="N230" s="208"/>
      <c r="O230" s="212">
        <f t="array" ref="O230:Y230">TRANSPOSE(Cls3NCentTruckShr)</f>
        <v>0.27324001996593789</v>
      </c>
      <c r="P230" s="213">
        <v>0.25610450783680394</v>
      </c>
      <c r="Q230" s="213">
        <v>4.6572125423937315E-2</v>
      </c>
      <c r="R230" s="213">
        <v>2.2779497082922668E-2</v>
      </c>
      <c r="S230" s="213">
        <v>5.0811779544371336E-3</v>
      </c>
      <c r="T230" s="213">
        <v>2.5955840495899339E-3</v>
      </c>
      <c r="U230" s="213">
        <v>4.3441677754441459E-3</v>
      </c>
      <c r="V230" s="213">
        <v>3.7558983870508854E-3</v>
      </c>
      <c r="W230" s="213">
        <v>4.897828379299261E-4</v>
      </c>
      <c r="X230" s="213">
        <v>0</v>
      </c>
      <c r="Y230" s="1052">
        <v>1.1022999100839563E-4</v>
      </c>
      <c r="Z230" s="1057"/>
      <c r="AA230" s="1058"/>
      <c r="AI230" s="99"/>
    </row>
    <row r="231" spans="1:35" x14ac:dyDescent="0.2">
      <c r="A231" s="203" t="s">
        <v>125</v>
      </c>
      <c r="B231" s="770">
        <f t="array" ref="B231:L231">TRANSPOSE(Cls3CentVMTShr)</f>
        <v>7.4407503791532936E-2</v>
      </c>
      <c r="C231" s="771">
        <v>0.15052192967997111</v>
      </c>
      <c r="D231" s="771">
        <v>8.9028098283245441E-2</v>
      </c>
      <c r="E231" s="771">
        <v>4.5356257743642811E-2</v>
      </c>
      <c r="F231" s="771">
        <v>2.1016507050137231E-2</v>
      </c>
      <c r="G231" s="771">
        <v>4.9007047894213725E-4</v>
      </c>
      <c r="H231" s="771">
        <v>1.4797621296467818E-2</v>
      </c>
      <c r="I231" s="771">
        <v>0</v>
      </c>
      <c r="J231" s="771">
        <v>0</v>
      </c>
      <c r="K231" s="771">
        <v>3.7103078033661591E-3</v>
      </c>
      <c r="L231" s="1053">
        <v>0</v>
      </c>
      <c r="M231" s="1054"/>
      <c r="N231" s="1055"/>
      <c r="O231" s="770">
        <f t="array" ref="O231:Y231">TRANSPOSE(Cls3NCentVMTShr)</f>
        <v>0.11481596497083862</v>
      </c>
      <c r="P231" s="771">
        <v>0.26987209279577573</v>
      </c>
      <c r="Q231" s="771">
        <v>8.3836105982992667E-2</v>
      </c>
      <c r="R231" s="771">
        <v>5.9842896537765707E-2</v>
      </c>
      <c r="S231" s="771">
        <v>1.6413649143963899E-2</v>
      </c>
      <c r="T231" s="771">
        <v>1.0165768727376887E-2</v>
      </c>
      <c r="U231" s="771">
        <v>2.0700108148562976E-2</v>
      </c>
      <c r="V231" s="771">
        <v>2.0956833812228508E-2</v>
      </c>
      <c r="W231" s="771">
        <v>3.1584958359553582E-3</v>
      </c>
      <c r="X231" s="771">
        <v>0</v>
      </c>
      <c r="Y231" s="772">
        <v>9.0978791723388369E-4</v>
      </c>
      <c r="Z231" s="1054"/>
      <c r="AA231" s="1055"/>
      <c r="AB231" s="1552" t="str">
        <f>"% of miles on f2 for Tech "&amp; RIGHT(O226)&amp;" adopters"</f>
        <v>% of miles on f2 for Tech  adopters</v>
      </c>
      <c r="AC231" s="1553"/>
      <c r="AD231" s="1554"/>
      <c r="AE231" s="1080" t="s">
        <v>295</v>
      </c>
      <c r="AF231" s="1081"/>
      <c r="AG231" s="1081"/>
      <c r="AH231" s="1071" t="s">
        <v>294</v>
      </c>
      <c r="AI231" s="1072"/>
    </row>
    <row r="232" spans="1:35" ht="13.5" thickBot="1" x14ac:dyDescent="0.25">
      <c r="A232" s="789" t="s">
        <v>266</v>
      </c>
      <c r="B232" s="780">
        <f t="array" ref="B232:L232">TRANSPOSE(Cls3CentVMT/OPDAYS_Cls3)</f>
        <v>49.202805162026571</v>
      </c>
      <c r="C232" s="781">
        <v>115.99623692884222</v>
      </c>
      <c r="D232" s="781">
        <v>190.94140758026836</v>
      </c>
      <c r="E232" s="781">
        <v>282.72824571583544</v>
      </c>
      <c r="F232" s="781">
        <v>349.10577157713089</v>
      </c>
      <c r="G232" s="781">
        <v>408.92399999999998</v>
      </c>
      <c r="H232" s="781">
        <v>540.31926836851005</v>
      </c>
      <c r="I232" s="781">
        <v>600</v>
      </c>
      <c r="J232" s="781">
        <v>680</v>
      </c>
      <c r="K232" s="781">
        <v>800.00000000000011</v>
      </c>
      <c r="L232" s="782">
        <v>800</v>
      </c>
      <c r="M232" s="778"/>
      <c r="N232" s="779"/>
      <c r="O232" s="780">
        <f t="array" ref="O232:Y232">TRANSPOSE(Cls3NCentVMT/OPDAYS_Cls3)</f>
        <v>45.820527909508108</v>
      </c>
      <c r="P232" s="781">
        <v>114.90604343518244</v>
      </c>
      <c r="Q232" s="781">
        <v>196.29405935940918</v>
      </c>
      <c r="R232" s="781">
        <v>286.46435582159182</v>
      </c>
      <c r="S232" s="781">
        <v>352.24339419308075</v>
      </c>
      <c r="T232" s="781">
        <v>427.07804424634116</v>
      </c>
      <c r="U232" s="781">
        <v>519.59880241076587</v>
      </c>
      <c r="V232" s="781">
        <v>608.4346682070543</v>
      </c>
      <c r="W232" s="781">
        <v>703.2</v>
      </c>
      <c r="X232" s="781">
        <v>760</v>
      </c>
      <c r="Y232" s="1056">
        <v>900</v>
      </c>
      <c r="Z232" s="790"/>
      <c r="AA232" s="779"/>
      <c r="AB232" s="792" t="s">
        <v>186</v>
      </c>
      <c r="AC232" s="793" t="s">
        <v>15</v>
      </c>
      <c r="AD232" s="794" t="s">
        <v>18</v>
      </c>
      <c r="AE232" s="202" t="s">
        <v>186</v>
      </c>
      <c r="AF232" s="1082" t="s">
        <v>15</v>
      </c>
      <c r="AG232" s="1082" t="s">
        <v>18</v>
      </c>
      <c r="AH232" s="1083" t="s">
        <v>186</v>
      </c>
      <c r="AI232" s="1084" t="s">
        <v>15</v>
      </c>
    </row>
    <row r="233" spans="1:35" ht="13.5" thickTop="1" x14ac:dyDescent="0.2">
      <c r="A233" s="198">
        <v>2007</v>
      </c>
      <c r="B233" s="214">
        <v>0</v>
      </c>
      <c r="C233" s="215">
        <v>0</v>
      </c>
      <c r="D233" s="215">
        <v>0</v>
      </c>
      <c r="E233" s="215">
        <v>0</v>
      </c>
      <c r="F233" s="215">
        <v>0</v>
      </c>
      <c r="G233" s="215">
        <v>0</v>
      </c>
      <c r="H233" s="215">
        <v>0</v>
      </c>
      <c r="I233" s="215">
        <v>0</v>
      </c>
      <c r="J233" s="215">
        <v>0</v>
      </c>
      <c r="K233" s="215">
        <v>0</v>
      </c>
      <c r="L233" s="251">
        <v>0</v>
      </c>
      <c r="M233" s="259">
        <f>SUMPRODUCT(B233:L233,$B$231:$L$231)</f>
        <v>0</v>
      </c>
      <c r="N233" s="156">
        <f>SUMPRODUCT(B233:L233,$B$230:$L$230)</f>
        <v>0</v>
      </c>
      <c r="O233" s="214">
        <v>0</v>
      </c>
      <c r="P233" s="215">
        <v>0</v>
      </c>
      <c r="Q233" s="215">
        <v>0</v>
      </c>
      <c r="R233" s="215">
        <v>0</v>
      </c>
      <c r="S233" s="215">
        <v>0</v>
      </c>
      <c r="T233" s="215">
        <v>0</v>
      </c>
      <c r="U233" s="215">
        <v>0</v>
      </c>
      <c r="V233" s="215">
        <v>0</v>
      </c>
      <c r="W233" s="215">
        <v>0</v>
      </c>
      <c r="X233" s="215">
        <v>0</v>
      </c>
      <c r="Y233" s="251">
        <v>0</v>
      </c>
      <c r="Z233" s="259">
        <f>SUMPRODUCT(O233:Y233,$O$231:$Y$231)</f>
        <v>0</v>
      </c>
      <c r="AA233" s="156">
        <f>SUMPRODUCT(O233:Y233,$O$230:$Y$230)</f>
        <v>0</v>
      </c>
      <c r="AB233" s="795">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796">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069">
        <f>AB233*AH233+AC233*AI233</f>
        <v>0</v>
      </c>
      <c r="AE233" s="1073">
        <f t="shared" ref="AE233:AE247" si="96">SUMPRODUCT($B$74:$L$74,B233:L233)</f>
        <v>0</v>
      </c>
      <c r="AF233" s="1074">
        <f t="shared" ref="AF233:AF247" si="97">SUMPRODUCT($O$74:$Y$74,O233:Y233)</f>
        <v>0</v>
      </c>
      <c r="AG233" s="1074">
        <f t="shared" ref="AG233:AG247" si="98">SUM(AE233:AF233)</f>
        <v>0</v>
      </c>
      <c r="AH233" s="1015">
        <f>IF(AG233&gt;0,AE233/AG233,0)</f>
        <v>0</v>
      </c>
      <c r="AI233" s="1075">
        <f>IF(AG233&gt;0,AF233/AG233,0)</f>
        <v>0</v>
      </c>
    </row>
    <row r="234" spans="1:35" x14ac:dyDescent="0.2">
      <c r="A234" s="199">
        <v>2008</v>
      </c>
      <c r="B234" s="216">
        <v>0</v>
      </c>
      <c r="C234" s="217">
        <v>0</v>
      </c>
      <c r="D234" s="217">
        <v>0</v>
      </c>
      <c r="E234" s="217">
        <v>0</v>
      </c>
      <c r="F234" s="217">
        <v>0</v>
      </c>
      <c r="G234" s="217">
        <v>0</v>
      </c>
      <c r="H234" s="217">
        <v>0</v>
      </c>
      <c r="I234" s="217">
        <v>0</v>
      </c>
      <c r="J234" s="217">
        <v>0</v>
      </c>
      <c r="K234" s="217">
        <v>0</v>
      </c>
      <c r="L234" s="252">
        <v>0</v>
      </c>
      <c r="M234" s="168">
        <f t="shared" ref="M234:M276" si="99">SUMPRODUCT(B234:L234,$B$231:$L$231)</f>
        <v>0</v>
      </c>
      <c r="N234" s="170">
        <f t="shared" ref="N234:N276" si="100">SUMPRODUCT(B234:L234,$B$230:$L$230)</f>
        <v>0</v>
      </c>
      <c r="O234" s="216">
        <v>0</v>
      </c>
      <c r="P234" s="217">
        <v>0</v>
      </c>
      <c r="Q234" s="217">
        <v>0</v>
      </c>
      <c r="R234" s="217">
        <v>0</v>
      </c>
      <c r="S234" s="217">
        <v>0</v>
      </c>
      <c r="T234" s="217">
        <v>0</v>
      </c>
      <c r="U234" s="217">
        <v>0</v>
      </c>
      <c r="V234" s="217">
        <v>0</v>
      </c>
      <c r="W234" s="217">
        <v>0</v>
      </c>
      <c r="X234" s="217">
        <v>0</v>
      </c>
      <c r="Y234" s="252">
        <v>0</v>
      </c>
      <c r="Z234" s="168">
        <f t="shared" ref="Z234:Z276" si="101">SUMPRODUCT(O234:Y234,$O$231:$Y$231)</f>
        <v>0</v>
      </c>
      <c r="AA234" s="170">
        <f t="shared" ref="AA234:AA276" si="102">SUMPRODUCT(O234:Y234,$O$230:$Y$230)</f>
        <v>0</v>
      </c>
      <c r="AB234" s="795">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796">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069">
        <f t="shared" ref="AD234:AD258" si="103">AB234*AH234+AC234*AI234</f>
        <v>0</v>
      </c>
      <c r="AE234" s="1073">
        <f t="shared" si="96"/>
        <v>0</v>
      </c>
      <c r="AF234" s="1074">
        <f t="shared" si="97"/>
        <v>0</v>
      </c>
      <c r="AG234" s="1074">
        <f t="shared" si="98"/>
        <v>0</v>
      </c>
      <c r="AH234" s="1015">
        <f t="shared" ref="AH234:AH276" si="104">IF(AG234&gt;0,AE234/AG234,0)</f>
        <v>0</v>
      </c>
      <c r="AI234" s="1075">
        <f t="shared" ref="AI234:AI276" si="105">IF(AG234&gt;0,AF234/AG234,0)</f>
        <v>0</v>
      </c>
    </row>
    <row r="235" spans="1:35" x14ac:dyDescent="0.2">
      <c r="A235" s="199">
        <v>2009</v>
      </c>
      <c r="B235" s="216">
        <v>0</v>
      </c>
      <c r="C235" s="217">
        <v>0</v>
      </c>
      <c r="D235" s="217">
        <v>0</v>
      </c>
      <c r="E235" s="217">
        <v>0</v>
      </c>
      <c r="F235" s="217">
        <v>0</v>
      </c>
      <c r="G235" s="217">
        <v>0</v>
      </c>
      <c r="H235" s="217">
        <v>0</v>
      </c>
      <c r="I235" s="217">
        <v>0</v>
      </c>
      <c r="J235" s="217">
        <v>0</v>
      </c>
      <c r="K235" s="217">
        <v>0</v>
      </c>
      <c r="L235" s="252">
        <v>0</v>
      </c>
      <c r="M235" s="168">
        <f t="shared" si="99"/>
        <v>0</v>
      </c>
      <c r="N235" s="170">
        <f t="shared" si="100"/>
        <v>0</v>
      </c>
      <c r="O235" s="216">
        <v>0</v>
      </c>
      <c r="P235" s="217">
        <v>0</v>
      </c>
      <c r="Q235" s="217">
        <v>0</v>
      </c>
      <c r="R235" s="217">
        <v>0</v>
      </c>
      <c r="S235" s="217">
        <v>0</v>
      </c>
      <c r="T235" s="217">
        <v>0</v>
      </c>
      <c r="U235" s="217">
        <v>0</v>
      </c>
      <c r="V235" s="217">
        <v>0</v>
      </c>
      <c r="W235" s="217">
        <v>0</v>
      </c>
      <c r="X235" s="217">
        <v>0</v>
      </c>
      <c r="Y235" s="252">
        <v>0</v>
      </c>
      <c r="Z235" s="168">
        <f t="shared" si="101"/>
        <v>0</v>
      </c>
      <c r="AA235" s="170">
        <f t="shared" si="102"/>
        <v>0</v>
      </c>
      <c r="AB235" s="795">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796">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069">
        <f t="shared" si="103"/>
        <v>0</v>
      </c>
      <c r="AE235" s="1073">
        <f t="shared" si="96"/>
        <v>0</v>
      </c>
      <c r="AF235" s="1074">
        <f t="shared" si="97"/>
        <v>0</v>
      </c>
      <c r="AG235" s="1074">
        <f t="shared" si="98"/>
        <v>0</v>
      </c>
      <c r="AH235" s="1015">
        <f t="shared" si="104"/>
        <v>0</v>
      </c>
      <c r="AI235" s="1075">
        <f t="shared" si="105"/>
        <v>0</v>
      </c>
    </row>
    <row r="236" spans="1:35" ht="13.5" thickBot="1" x14ac:dyDescent="0.25">
      <c r="A236" s="200">
        <v>2010</v>
      </c>
      <c r="B236" s="218">
        <v>0</v>
      </c>
      <c r="C236" s="219">
        <v>0</v>
      </c>
      <c r="D236" s="219">
        <v>0</v>
      </c>
      <c r="E236" s="219">
        <v>0</v>
      </c>
      <c r="F236" s="219">
        <v>0</v>
      </c>
      <c r="G236" s="219">
        <v>0</v>
      </c>
      <c r="H236" s="219">
        <v>0</v>
      </c>
      <c r="I236" s="219">
        <v>0</v>
      </c>
      <c r="J236" s="219">
        <v>0</v>
      </c>
      <c r="K236" s="219">
        <v>0</v>
      </c>
      <c r="L236" s="253">
        <v>0</v>
      </c>
      <c r="M236" s="182">
        <f t="shared" si="99"/>
        <v>0</v>
      </c>
      <c r="N236" s="184">
        <f t="shared" si="100"/>
        <v>0</v>
      </c>
      <c r="O236" s="218">
        <v>0</v>
      </c>
      <c r="P236" s="219">
        <v>0</v>
      </c>
      <c r="Q236" s="219">
        <v>0</v>
      </c>
      <c r="R236" s="219">
        <v>0</v>
      </c>
      <c r="S236" s="219">
        <v>0</v>
      </c>
      <c r="T236" s="219">
        <v>0</v>
      </c>
      <c r="U236" s="219">
        <v>0</v>
      </c>
      <c r="V236" s="219">
        <v>0</v>
      </c>
      <c r="W236" s="219">
        <v>0</v>
      </c>
      <c r="X236" s="219">
        <v>0</v>
      </c>
      <c r="Y236" s="253">
        <v>0</v>
      </c>
      <c r="Z236" s="182">
        <f t="shared" si="101"/>
        <v>0</v>
      </c>
      <c r="AA236" s="184">
        <f t="shared" si="102"/>
        <v>0</v>
      </c>
      <c r="AB236" s="795">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796">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069">
        <f t="shared" si="103"/>
        <v>0</v>
      </c>
      <c r="AE236" s="1073">
        <f t="shared" si="96"/>
        <v>0</v>
      </c>
      <c r="AF236" s="1074">
        <f t="shared" si="97"/>
        <v>0</v>
      </c>
      <c r="AG236" s="1074">
        <f t="shared" si="98"/>
        <v>0</v>
      </c>
      <c r="AH236" s="1015">
        <f t="shared" si="104"/>
        <v>0</v>
      </c>
      <c r="AI236" s="1075">
        <f t="shared" si="105"/>
        <v>0</v>
      </c>
    </row>
    <row r="237" spans="1:35" x14ac:dyDescent="0.2">
      <c r="A237" s="201">
        <v>2011</v>
      </c>
      <c r="B237" s="214">
        <v>0</v>
      </c>
      <c r="C237" s="215">
        <v>0</v>
      </c>
      <c r="D237" s="215">
        <v>0</v>
      </c>
      <c r="E237" s="215">
        <v>0</v>
      </c>
      <c r="F237" s="215">
        <v>0</v>
      </c>
      <c r="G237" s="215">
        <v>0</v>
      </c>
      <c r="H237" s="215">
        <v>0</v>
      </c>
      <c r="I237" s="215">
        <v>0</v>
      </c>
      <c r="J237" s="215">
        <v>0</v>
      </c>
      <c r="K237" s="215">
        <v>0</v>
      </c>
      <c r="L237" s="251">
        <v>0</v>
      </c>
      <c r="M237" s="154">
        <f t="shared" si="99"/>
        <v>0</v>
      </c>
      <c r="N237" s="156">
        <f t="shared" si="100"/>
        <v>0</v>
      </c>
      <c r="O237" s="214">
        <v>0</v>
      </c>
      <c r="P237" s="215">
        <v>0</v>
      </c>
      <c r="Q237" s="215">
        <v>0</v>
      </c>
      <c r="R237" s="215">
        <v>0</v>
      </c>
      <c r="S237" s="215">
        <v>0</v>
      </c>
      <c r="T237" s="215">
        <v>0</v>
      </c>
      <c r="U237" s="215">
        <v>0</v>
      </c>
      <c r="V237" s="215">
        <v>0</v>
      </c>
      <c r="W237" s="215">
        <v>0</v>
      </c>
      <c r="X237" s="215">
        <v>0</v>
      </c>
      <c r="Y237" s="251">
        <v>0</v>
      </c>
      <c r="Z237" s="154">
        <f t="shared" si="101"/>
        <v>0</v>
      </c>
      <c r="AA237" s="156">
        <f t="shared" si="102"/>
        <v>0</v>
      </c>
      <c r="AB237" s="795">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796">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069">
        <f t="shared" si="103"/>
        <v>0</v>
      </c>
      <c r="AE237" s="1073">
        <f t="shared" si="96"/>
        <v>0</v>
      </c>
      <c r="AF237" s="1074">
        <f t="shared" si="97"/>
        <v>0</v>
      </c>
      <c r="AG237" s="1074">
        <f t="shared" si="98"/>
        <v>0</v>
      </c>
      <c r="AH237" s="1015">
        <f t="shared" si="104"/>
        <v>0</v>
      </c>
      <c r="AI237" s="1075">
        <f t="shared" si="105"/>
        <v>0</v>
      </c>
    </row>
    <row r="238" spans="1:35" x14ac:dyDescent="0.2">
      <c r="A238" s="202">
        <v>2012</v>
      </c>
      <c r="B238" s="216">
        <v>0</v>
      </c>
      <c r="C238" s="217">
        <v>0</v>
      </c>
      <c r="D238" s="217">
        <v>0</v>
      </c>
      <c r="E238" s="217">
        <v>0</v>
      </c>
      <c r="F238" s="217">
        <v>0</v>
      </c>
      <c r="G238" s="217">
        <v>0</v>
      </c>
      <c r="H238" s="217">
        <v>0</v>
      </c>
      <c r="I238" s="217">
        <v>0</v>
      </c>
      <c r="J238" s="217">
        <v>0</v>
      </c>
      <c r="K238" s="217">
        <v>0</v>
      </c>
      <c r="L238" s="252">
        <v>0</v>
      </c>
      <c r="M238" s="168">
        <f t="shared" si="99"/>
        <v>0</v>
      </c>
      <c r="N238" s="170">
        <f t="shared" si="100"/>
        <v>0</v>
      </c>
      <c r="O238" s="216">
        <v>0</v>
      </c>
      <c r="P238" s="217">
        <v>0</v>
      </c>
      <c r="Q238" s="217">
        <v>0</v>
      </c>
      <c r="R238" s="217">
        <v>0</v>
      </c>
      <c r="S238" s="217">
        <v>0</v>
      </c>
      <c r="T238" s="217">
        <v>0</v>
      </c>
      <c r="U238" s="217">
        <v>0</v>
      </c>
      <c r="V238" s="217">
        <v>0</v>
      </c>
      <c r="W238" s="217">
        <v>0</v>
      </c>
      <c r="X238" s="217">
        <v>0</v>
      </c>
      <c r="Y238" s="252">
        <v>0</v>
      </c>
      <c r="Z238" s="168">
        <f t="shared" si="101"/>
        <v>0</v>
      </c>
      <c r="AA238" s="170">
        <f t="shared" si="102"/>
        <v>0</v>
      </c>
      <c r="AB238" s="795">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796">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069">
        <f t="shared" si="103"/>
        <v>0</v>
      </c>
      <c r="AE238" s="1073">
        <f t="shared" si="96"/>
        <v>0</v>
      </c>
      <c r="AF238" s="1074">
        <f t="shared" si="97"/>
        <v>0</v>
      </c>
      <c r="AG238" s="1074">
        <f t="shared" si="98"/>
        <v>0</v>
      </c>
      <c r="AH238" s="1015">
        <f t="shared" si="104"/>
        <v>0</v>
      </c>
      <c r="AI238" s="1075">
        <f t="shared" si="105"/>
        <v>0</v>
      </c>
    </row>
    <row r="239" spans="1:35" x14ac:dyDescent="0.2">
      <c r="A239" s="202">
        <v>2013</v>
      </c>
      <c r="B239" s="216">
        <v>0</v>
      </c>
      <c r="C239" s="217">
        <v>0</v>
      </c>
      <c r="D239" s="217">
        <v>0</v>
      </c>
      <c r="E239" s="217">
        <v>0</v>
      </c>
      <c r="F239" s="217">
        <v>0</v>
      </c>
      <c r="G239" s="217">
        <v>0</v>
      </c>
      <c r="H239" s="217">
        <v>0</v>
      </c>
      <c r="I239" s="217">
        <v>0</v>
      </c>
      <c r="J239" s="217">
        <v>0</v>
      </c>
      <c r="K239" s="217">
        <v>0</v>
      </c>
      <c r="L239" s="252">
        <v>0</v>
      </c>
      <c r="M239" s="168">
        <f t="shared" si="99"/>
        <v>0</v>
      </c>
      <c r="N239" s="170">
        <f t="shared" si="100"/>
        <v>0</v>
      </c>
      <c r="O239" s="216">
        <v>0</v>
      </c>
      <c r="P239" s="217">
        <v>0</v>
      </c>
      <c r="Q239" s="217">
        <v>0</v>
      </c>
      <c r="R239" s="217">
        <v>0</v>
      </c>
      <c r="S239" s="217">
        <v>0</v>
      </c>
      <c r="T239" s="217">
        <v>0</v>
      </c>
      <c r="U239" s="217">
        <v>0</v>
      </c>
      <c r="V239" s="217">
        <v>0</v>
      </c>
      <c r="W239" s="217">
        <v>0</v>
      </c>
      <c r="X239" s="217">
        <v>0</v>
      </c>
      <c r="Y239" s="252">
        <v>0</v>
      </c>
      <c r="Z239" s="168">
        <f t="shared" si="101"/>
        <v>0</v>
      </c>
      <c r="AA239" s="170">
        <f t="shared" si="102"/>
        <v>0</v>
      </c>
      <c r="AB239" s="795">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796">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069">
        <f t="shared" si="103"/>
        <v>0</v>
      </c>
      <c r="AE239" s="1073">
        <f t="shared" si="96"/>
        <v>0</v>
      </c>
      <c r="AF239" s="1074">
        <f t="shared" si="97"/>
        <v>0</v>
      </c>
      <c r="AG239" s="1074">
        <f t="shared" si="98"/>
        <v>0</v>
      </c>
      <c r="AH239" s="1015">
        <f t="shared" si="104"/>
        <v>0</v>
      </c>
      <c r="AI239" s="1075">
        <f t="shared" si="105"/>
        <v>0</v>
      </c>
    </row>
    <row r="240" spans="1:35" x14ac:dyDescent="0.2">
      <c r="A240" s="202">
        <v>2014</v>
      </c>
      <c r="B240" s="216">
        <v>0</v>
      </c>
      <c r="C240" s="217">
        <v>0</v>
      </c>
      <c r="D240" s="217">
        <v>0</v>
      </c>
      <c r="E240" s="217">
        <v>0</v>
      </c>
      <c r="F240" s="217">
        <v>0</v>
      </c>
      <c r="G240" s="217">
        <v>0</v>
      </c>
      <c r="H240" s="217">
        <v>0</v>
      </c>
      <c r="I240" s="217">
        <v>0</v>
      </c>
      <c r="J240" s="217">
        <v>0</v>
      </c>
      <c r="K240" s="217">
        <v>0</v>
      </c>
      <c r="L240" s="252">
        <v>0</v>
      </c>
      <c r="M240" s="168">
        <f t="shared" si="99"/>
        <v>0</v>
      </c>
      <c r="N240" s="170">
        <f t="shared" si="100"/>
        <v>0</v>
      </c>
      <c r="O240" s="216">
        <v>0</v>
      </c>
      <c r="P240" s="217">
        <v>0</v>
      </c>
      <c r="Q240" s="217">
        <v>0</v>
      </c>
      <c r="R240" s="217">
        <v>0</v>
      </c>
      <c r="S240" s="217">
        <v>0</v>
      </c>
      <c r="T240" s="217">
        <v>0</v>
      </c>
      <c r="U240" s="217">
        <v>0</v>
      </c>
      <c r="V240" s="217">
        <v>0</v>
      </c>
      <c r="W240" s="217">
        <v>0</v>
      </c>
      <c r="X240" s="217">
        <v>0</v>
      </c>
      <c r="Y240" s="252">
        <v>0</v>
      </c>
      <c r="Z240" s="168">
        <f t="shared" si="101"/>
        <v>0</v>
      </c>
      <c r="AA240" s="170">
        <f t="shared" si="102"/>
        <v>0</v>
      </c>
      <c r="AB240" s="795">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796">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069">
        <f t="shared" si="103"/>
        <v>0</v>
      </c>
      <c r="AE240" s="1073">
        <f t="shared" si="96"/>
        <v>0</v>
      </c>
      <c r="AF240" s="1074">
        <f t="shared" si="97"/>
        <v>0</v>
      </c>
      <c r="AG240" s="1074">
        <f t="shared" si="98"/>
        <v>0</v>
      </c>
      <c r="AH240" s="1015">
        <f t="shared" si="104"/>
        <v>0</v>
      </c>
      <c r="AI240" s="1075">
        <f t="shared" si="105"/>
        <v>0</v>
      </c>
    </row>
    <row r="241" spans="1:35" ht="13.5" thickBot="1" x14ac:dyDescent="0.25">
      <c r="A241" s="200">
        <v>2015</v>
      </c>
      <c r="B241" s="218">
        <v>0</v>
      </c>
      <c r="C241" s="219">
        <v>0</v>
      </c>
      <c r="D241" s="219">
        <v>0</v>
      </c>
      <c r="E241" s="219">
        <v>0</v>
      </c>
      <c r="F241" s="219">
        <v>0</v>
      </c>
      <c r="G241" s="219">
        <v>0</v>
      </c>
      <c r="H241" s="219">
        <v>0</v>
      </c>
      <c r="I241" s="219">
        <v>0</v>
      </c>
      <c r="J241" s="219">
        <v>0</v>
      </c>
      <c r="K241" s="219">
        <v>0</v>
      </c>
      <c r="L241" s="253">
        <v>0</v>
      </c>
      <c r="M241" s="182">
        <f t="shared" si="99"/>
        <v>0</v>
      </c>
      <c r="N241" s="184">
        <f t="shared" si="100"/>
        <v>0</v>
      </c>
      <c r="O241" s="218">
        <v>0</v>
      </c>
      <c r="P241" s="219">
        <v>0</v>
      </c>
      <c r="Q241" s="219">
        <v>0</v>
      </c>
      <c r="R241" s="219">
        <v>0</v>
      </c>
      <c r="S241" s="219">
        <v>0</v>
      </c>
      <c r="T241" s="219">
        <v>0</v>
      </c>
      <c r="U241" s="219">
        <v>0</v>
      </c>
      <c r="V241" s="219">
        <v>0</v>
      </c>
      <c r="W241" s="219">
        <v>0</v>
      </c>
      <c r="X241" s="219">
        <v>0</v>
      </c>
      <c r="Y241" s="253">
        <v>0</v>
      </c>
      <c r="Z241" s="182">
        <f t="shared" si="101"/>
        <v>0</v>
      </c>
      <c r="AA241" s="184">
        <f t="shared" si="102"/>
        <v>0</v>
      </c>
      <c r="AB241" s="795">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796">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069">
        <f t="shared" si="103"/>
        <v>0</v>
      </c>
      <c r="AE241" s="1073">
        <f t="shared" si="96"/>
        <v>0</v>
      </c>
      <c r="AF241" s="1074">
        <f t="shared" si="97"/>
        <v>0</v>
      </c>
      <c r="AG241" s="1074">
        <f t="shared" si="98"/>
        <v>0</v>
      </c>
      <c r="AH241" s="1015">
        <f t="shared" si="104"/>
        <v>0</v>
      </c>
      <c r="AI241" s="1075">
        <f t="shared" si="105"/>
        <v>0</v>
      </c>
    </row>
    <row r="242" spans="1:35" x14ac:dyDescent="0.2">
      <c r="A242" s="201">
        <v>2016</v>
      </c>
      <c r="B242" s="214">
        <v>0</v>
      </c>
      <c r="C242" s="215">
        <v>0</v>
      </c>
      <c r="D242" s="215">
        <v>0</v>
      </c>
      <c r="E242" s="215">
        <v>0</v>
      </c>
      <c r="F242" s="215">
        <v>0</v>
      </c>
      <c r="G242" s="215">
        <v>0</v>
      </c>
      <c r="H242" s="215">
        <v>0</v>
      </c>
      <c r="I242" s="215">
        <v>0</v>
      </c>
      <c r="J242" s="215">
        <v>0</v>
      </c>
      <c r="K242" s="215">
        <v>0</v>
      </c>
      <c r="L242" s="251">
        <v>0</v>
      </c>
      <c r="M242" s="154">
        <f t="shared" si="99"/>
        <v>0</v>
      </c>
      <c r="N242" s="156">
        <f t="shared" si="100"/>
        <v>0</v>
      </c>
      <c r="O242" s="214">
        <v>0</v>
      </c>
      <c r="P242" s="215">
        <v>0</v>
      </c>
      <c r="Q242" s="215">
        <v>0</v>
      </c>
      <c r="R242" s="215">
        <v>0</v>
      </c>
      <c r="S242" s="215">
        <v>0</v>
      </c>
      <c r="T242" s="215">
        <v>0</v>
      </c>
      <c r="U242" s="215">
        <v>0</v>
      </c>
      <c r="V242" s="215">
        <v>0</v>
      </c>
      <c r="W242" s="215">
        <v>0</v>
      </c>
      <c r="X242" s="215">
        <v>0</v>
      </c>
      <c r="Y242" s="251">
        <v>0</v>
      </c>
      <c r="Z242" s="154">
        <f t="shared" si="101"/>
        <v>0</v>
      </c>
      <c r="AA242" s="156">
        <f t="shared" si="102"/>
        <v>0</v>
      </c>
      <c r="AB242" s="795">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796">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069">
        <f t="shared" si="103"/>
        <v>0</v>
      </c>
      <c r="AE242" s="1073">
        <f t="shared" si="96"/>
        <v>0</v>
      </c>
      <c r="AF242" s="1074">
        <f t="shared" si="97"/>
        <v>0</v>
      </c>
      <c r="AG242" s="1074">
        <f t="shared" si="98"/>
        <v>0</v>
      </c>
      <c r="AH242" s="1015">
        <f t="shared" si="104"/>
        <v>0</v>
      </c>
      <c r="AI242" s="1075">
        <f t="shared" si="105"/>
        <v>0</v>
      </c>
    </row>
    <row r="243" spans="1:35" x14ac:dyDescent="0.2">
      <c r="A243" s="202">
        <v>2017</v>
      </c>
      <c r="B243" s="216">
        <v>0</v>
      </c>
      <c r="C243" s="217">
        <v>0</v>
      </c>
      <c r="D243" s="217">
        <v>0</v>
      </c>
      <c r="E243" s="217">
        <v>0</v>
      </c>
      <c r="F243" s="217">
        <v>0</v>
      </c>
      <c r="G243" s="217">
        <v>0</v>
      </c>
      <c r="H243" s="217">
        <v>0</v>
      </c>
      <c r="I243" s="217">
        <v>0</v>
      </c>
      <c r="J243" s="217">
        <v>0</v>
      </c>
      <c r="K243" s="217">
        <v>0</v>
      </c>
      <c r="L243" s="252">
        <v>0</v>
      </c>
      <c r="M243" s="168">
        <f t="shared" si="99"/>
        <v>0</v>
      </c>
      <c r="N243" s="170">
        <f t="shared" si="100"/>
        <v>0</v>
      </c>
      <c r="O243" s="216">
        <v>0</v>
      </c>
      <c r="P243" s="217">
        <v>0</v>
      </c>
      <c r="Q243" s="217">
        <v>0</v>
      </c>
      <c r="R243" s="217">
        <v>0</v>
      </c>
      <c r="S243" s="217">
        <v>0</v>
      </c>
      <c r="T243" s="217">
        <v>0</v>
      </c>
      <c r="U243" s="217">
        <v>0</v>
      </c>
      <c r="V243" s="217">
        <v>0</v>
      </c>
      <c r="W243" s="217">
        <v>0</v>
      </c>
      <c r="X243" s="217">
        <v>0</v>
      </c>
      <c r="Y243" s="252">
        <v>0</v>
      </c>
      <c r="Z243" s="168">
        <f t="shared" si="101"/>
        <v>0</v>
      </c>
      <c r="AA243" s="170">
        <f t="shared" si="102"/>
        <v>0</v>
      </c>
      <c r="AB243" s="795">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796">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069">
        <f t="shared" si="103"/>
        <v>0</v>
      </c>
      <c r="AE243" s="1073">
        <f t="shared" si="96"/>
        <v>0</v>
      </c>
      <c r="AF243" s="1074">
        <f t="shared" si="97"/>
        <v>0</v>
      </c>
      <c r="AG243" s="1074">
        <f t="shared" si="98"/>
        <v>0</v>
      </c>
      <c r="AH243" s="1015">
        <f t="shared" si="104"/>
        <v>0</v>
      </c>
      <c r="AI243" s="1075">
        <f t="shared" si="105"/>
        <v>0</v>
      </c>
    </row>
    <row r="244" spans="1:35" x14ac:dyDescent="0.2">
      <c r="A244" s="202">
        <v>2018</v>
      </c>
      <c r="B244" s="216">
        <v>0</v>
      </c>
      <c r="C244" s="217">
        <v>0</v>
      </c>
      <c r="D244" s="217">
        <v>0</v>
      </c>
      <c r="E244" s="217">
        <v>0</v>
      </c>
      <c r="F244" s="217">
        <v>0</v>
      </c>
      <c r="G244" s="217">
        <v>0</v>
      </c>
      <c r="H244" s="217">
        <v>0</v>
      </c>
      <c r="I244" s="217">
        <v>0</v>
      </c>
      <c r="J244" s="217">
        <v>0</v>
      </c>
      <c r="K244" s="217">
        <v>0</v>
      </c>
      <c r="L244" s="252">
        <v>0</v>
      </c>
      <c r="M244" s="168">
        <f t="shared" si="99"/>
        <v>0</v>
      </c>
      <c r="N244" s="170">
        <f t="shared" si="100"/>
        <v>0</v>
      </c>
      <c r="O244" s="216">
        <v>0</v>
      </c>
      <c r="P244" s="217">
        <v>0</v>
      </c>
      <c r="Q244" s="217">
        <v>0</v>
      </c>
      <c r="R244" s="217">
        <v>0</v>
      </c>
      <c r="S244" s="217">
        <v>0</v>
      </c>
      <c r="T244" s="217">
        <v>0</v>
      </c>
      <c r="U244" s="217">
        <v>0</v>
      </c>
      <c r="V244" s="217">
        <v>0</v>
      </c>
      <c r="W244" s="217">
        <v>0</v>
      </c>
      <c r="X244" s="217">
        <v>0</v>
      </c>
      <c r="Y244" s="252">
        <v>0</v>
      </c>
      <c r="Z244" s="168">
        <f t="shared" si="101"/>
        <v>0</v>
      </c>
      <c r="AA244" s="170">
        <f t="shared" si="102"/>
        <v>0</v>
      </c>
      <c r="AB244" s="795">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796">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069">
        <f t="shared" si="103"/>
        <v>0</v>
      </c>
      <c r="AE244" s="1073">
        <f t="shared" si="96"/>
        <v>0</v>
      </c>
      <c r="AF244" s="1074">
        <f t="shared" si="97"/>
        <v>0</v>
      </c>
      <c r="AG244" s="1074">
        <f t="shared" si="98"/>
        <v>0</v>
      </c>
      <c r="AH244" s="1015">
        <f t="shared" si="104"/>
        <v>0</v>
      </c>
      <c r="AI244" s="1075">
        <f t="shared" si="105"/>
        <v>0</v>
      </c>
    </row>
    <row r="245" spans="1:35" x14ac:dyDescent="0.2">
      <c r="A245" s="202">
        <v>2019</v>
      </c>
      <c r="B245" s="216">
        <v>0</v>
      </c>
      <c r="C245" s="217">
        <v>0</v>
      </c>
      <c r="D245" s="217">
        <v>0</v>
      </c>
      <c r="E245" s="217">
        <v>0</v>
      </c>
      <c r="F245" s="217">
        <v>0</v>
      </c>
      <c r="G245" s="217">
        <v>0</v>
      </c>
      <c r="H245" s="217">
        <v>0</v>
      </c>
      <c r="I245" s="217">
        <v>0</v>
      </c>
      <c r="J245" s="217">
        <v>0</v>
      </c>
      <c r="K245" s="217">
        <v>0</v>
      </c>
      <c r="L245" s="252">
        <v>0</v>
      </c>
      <c r="M245" s="168">
        <f t="shared" si="99"/>
        <v>0</v>
      </c>
      <c r="N245" s="170">
        <f t="shared" si="100"/>
        <v>0</v>
      </c>
      <c r="O245" s="216">
        <v>0</v>
      </c>
      <c r="P245" s="217">
        <v>0</v>
      </c>
      <c r="Q245" s="217">
        <v>0</v>
      </c>
      <c r="R245" s="217">
        <v>0</v>
      </c>
      <c r="S245" s="217">
        <v>0</v>
      </c>
      <c r="T245" s="217">
        <v>0</v>
      </c>
      <c r="U245" s="217">
        <v>0</v>
      </c>
      <c r="V245" s="217">
        <v>0</v>
      </c>
      <c r="W245" s="217">
        <v>0</v>
      </c>
      <c r="X245" s="217">
        <v>0</v>
      </c>
      <c r="Y245" s="252">
        <v>0</v>
      </c>
      <c r="Z245" s="168">
        <f t="shared" si="101"/>
        <v>0</v>
      </c>
      <c r="AA245" s="170">
        <f t="shared" si="102"/>
        <v>0</v>
      </c>
      <c r="AB245" s="795">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796">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069">
        <f t="shared" si="103"/>
        <v>0</v>
      </c>
      <c r="AE245" s="1073">
        <f t="shared" si="96"/>
        <v>0</v>
      </c>
      <c r="AF245" s="1074">
        <f t="shared" si="97"/>
        <v>0</v>
      </c>
      <c r="AG245" s="1074">
        <f t="shared" si="98"/>
        <v>0</v>
      </c>
      <c r="AH245" s="1015">
        <f t="shared" si="104"/>
        <v>0</v>
      </c>
      <c r="AI245" s="1075">
        <f t="shared" si="105"/>
        <v>0</v>
      </c>
    </row>
    <row r="246" spans="1:35" ht="13.5" thickBot="1" x14ac:dyDescent="0.25">
      <c r="A246" s="200">
        <v>2020</v>
      </c>
      <c r="B246" s="218">
        <v>0</v>
      </c>
      <c r="C246" s="219">
        <v>0</v>
      </c>
      <c r="D246" s="219">
        <v>0</v>
      </c>
      <c r="E246" s="219">
        <v>0</v>
      </c>
      <c r="F246" s="219">
        <v>0</v>
      </c>
      <c r="G246" s="219">
        <v>0</v>
      </c>
      <c r="H246" s="219">
        <v>0</v>
      </c>
      <c r="I246" s="219">
        <v>0</v>
      </c>
      <c r="J246" s="219">
        <v>0</v>
      </c>
      <c r="K246" s="219">
        <v>0</v>
      </c>
      <c r="L246" s="253">
        <v>0</v>
      </c>
      <c r="M246" s="182">
        <f t="shared" si="99"/>
        <v>0</v>
      </c>
      <c r="N246" s="184">
        <f t="shared" si="100"/>
        <v>0</v>
      </c>
      <c r="O246" s="218">
        <v>0</v>
      </c>
      <c r="P246" s="219">
        <v>0</v>
      </c>
      <c r="Q246" s="219">
        <v>0</v>
      </c>
      <c r="R246" s="219">
        <v>0</v>
      </c>
      <c r="S246" s="219">
        <v>0</v>
      </c>
      <c r="T246" s="219">
        <v>0</v>
      </c>
      <c r="U246" s="219">
        <v>0</v>
      </c>
      <c r="V246" s="219">
        <v>0</v>
      </c>
      <c r="W246" s="219">
        <v>0</v>
      </c>
      <c r="X246" s="219">
        <v>0</v>
      </c>
      <c r="Y246" s="253">
        <v>0</v>
      </c>
      <c r="Z246" s="182">
        <f t="shared" si="101"/>
        <v>0</v>
      </c>
      <c r="AA246" s="184">
        <f t="shared" si="102"/>
        <v>0</v>
      </c>
      <c r="AB246" s="795">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796">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069">
        <f t="shared" si="103"/>
        <v>0</v>
      </c>
      <c r="AE246" s="1073">
        <f t="shared" si="96"/>
        <v>0</v>
      </c>
      <c r="AF246" s="1074">
        <f t="shared" si="97"/>
        <v>0</v>
      </c>
      <c r="AG246" s="1074">
        <f t="shared" si="98"/>
        <v>0</v>
      </c>
      <c r="AH246" s="1015">
        <f t="shared" si="104"/>
        <v>0</v>
      </c>
      <c r="AI246" s="1075">
        <f t="shared" si="105"/>
        <v>0</v>
      </c>
    </row>
    <row r="247" spans="1:35" x14ac:dyDescent="0.2">
      <c r="A247" s="201">
        <v>2021</v>
      </c>
      <c r="B247" s="214">
        <v>0</v>
      </c>
      <c r="C247" s="215">
        <v>0</v>
      </c>
      <c r="D247" s="215">
        <v>0</v>
      </c>
      <c r="E247" s="215">
        <v>0</v>
      </c>
      <c r="F247" s="215">
        <v>0</v>
      </c>
      <c r="G247" s="215">
        <v>0</v>
      </c>
      <c r="H247" s="215">
        <v>0</v>
      </c>
      <c r="I247" s="215">
        <v>0</v>
      </c>
      <c r="J247" s="215">
        <v>0</v>
      </c>
      <c r="K247" s="215">
        <v>0</v>
      </c>
      <c r="L247" s="251">
        <v>0</v>
      </c>
      <c r="M247" s="154">
        <f t="shared" si="99"/>
        <v>0</v>
      </c>
      <c r="N247" s="156">
        <f t="shared" si="100"/>
        <v>0</v>
      </c>
      <c r="O247" s="214">
        <v>0</v>
      </c>
      <c r="P247" s="215">
        <v>0</v>
      </c>
      <c r="Q247" s="215">
        <v>0</v>
      </c>
      <c r="R247" s="215">
        <v>0</v>
      </c>
      <c r="S247" s="215">
        <v>0</v>
      </c>
      <c r="T247" s="215">
        <v>0</v>
      </c>
      <c r="U247" s="215">
        <v>0</v>
      </c>
      <c r="V247" s="215">
        <v>0</v>
      </c>
      <c r="W247" s="215">
        <v>0</v>
      </c>
      <c r="X247" s="215">
        <v>0</v>
      </c>
      <c r="Y247" s="251">
        <v>0</v>
      </c>
      <c r="Z247" s="154">
        <f t="shared" si="101"/>
        <v>0</v>
      </c>
      <c r="AA247" s="156">
        <f t="shared" si="102"/>
        <v>0</v>
      </c>
      <c r="AB247" s="795">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796">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069">
        <f t="shared" si="103"/>
        <v>0</v>
      </c>
      <c r="AE247" s="1073">
        <f t="shared" si="96"/>
        <v>0</v>
      </c>
      <c r="AF247" s="1074">
        <f t="shared" si="97"/>
        <v>0</v>
      </c>
      <c r="AG247" s="1074">
        <f t="shared" si="98"/>
        <v>0</v>
      </c>
      <c r="AH247" s="1015">
        <f t="shared" si="104"/>
        <v>0</v>
      </c>
      <c r="AI247" s="1075">
        <f t="shared" si="105"/>
        <v>0</v>
      </c>
    </row>
    <row r="248" spans="1:35" x14ac:dyDescent="0.2">
      <c r="A248" s="202">
        <v>2022</v>
      </c>
      <c r="B248" s="216">
        <v>0</v>
      </c>
      <c r="C248" s="217">
        <v>0</v>
      </c>
      <c r="D248" s="217">
        <v>0</v>
      </c>
      <c r="E248" s="217">
        <v>0</v>
      </c>
      <c r="F248" s="217">
        <v>0</v>
      </c>
      <c r="G248" s="217">
        <v>0</v>
      </c>
      <c r="H248" s="217">
        <v>0</v>
      </c>
      <c r="I248" s="217">
        <v>0</v>
      </c>
      <c r="J248" s="217">
        <v>0</v>
      </c>
      <c r="K248" s="217">
        <v>0</v>
      </c>
      <c r="L248" s="252">
        <v>0</v>
      </c>
      <c r="M248" s="168">
        <f t="shared" si="99"/>
        <v>0</v>
      </c>
      <c r="N248" s="170">
        <f t="shared" si="100"/>
        <v>0</v>
      </c>
      <c r="O248" s="216">
        <v>0</v>
      </c>
      <c r="P248" s="217">
        <v>0</v>
      </c>
      <c r="Q248" s="217">
        <v>0</v>
      </c>
      <c r="R248" s="217">
        <v>0</v>
      </c>
      <c r="S248" s="217">
        <v>0</v>
      </c>
      <c r="T248" s="217">
        <v>0</v>
      </c>
      <c r="U248" s="217">
        <v>0</v>
      </c>
      <c r="V248" s="217">
        <v>0</v>
      </c>
      <c r="W248" s="217">
        <v>0</v>
      </c>
      <c r="X248" s="217">
        <v>0</v>
      </c>
      <c r="Y248" s="252">
        <v>0</v>
      </c>
      <c r="Z248" s="168">
        <f t="shared" si="101"/>
        <v>0</v>
      </c>
      <c r="AA248" s="170">
        <f t="shared" si="102"/>
        <v>0</v>
      </c>
      <c r="AB248" s="795">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796">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069">
        <f t="shared" si="103"/>
        <v>0</v>
      </c>
      <c r="AE248" s="1073">
        <f>SUMPRODUCT($B$74:$L$74,B248:L248)</f>
        <v>0</v>
      </c>
      <c r="AF248" s="1074">
        <f>SUMPRODUCT($O$74:$Y$74,O248:Y248)</f>
        <v>0</v>
      </c>
      <c r="AG248" s="1074">
        <f>SUM(AE248:AF248)</f>
        <v>0</v>
      </c>
      <c r="AH248" s="1015">
        <f t="shared" si="104"/>
        <v>0</v>
      </c>
      <c r="AI248" s="1075">
        <f t="shared" si="105"/>
        <v>0</v>
      </c>
    </row>
    <row r="249" spans="1:35" x14ac:dyDescent="0.2">
      <c r="A249" s="202">
        <v>2023</v>
      </c>
      <c r="B249" s="216">
        <v>0</v>
      </c>
      <c r="C249" s="217">
        <v>0</v>
      </c>
      <c r="D249" s="217">
        <v>0</v>
      </c>
      <c r="E249" s="217">
        <v>0</v>
      </c>
      <c r="F249" s="217">
        <v>0</v>
      </c>
      <c r="G249" s="217">
        <v>0</v>
      </c>
      <c r="H249" s="217">
        <v>0</v>
      </c>
      <c r="I249" s="217">
        <v>0</v>
      </c>
      <c r="J249" s="217">
        <v>0</v>
      </c>
      <c r="K249" s="217">
        <v>0</v>
      </c>
      <c r="L249" s="252">
        <v>0</v>
      </c>
      <c r="M249" s="168">
        <f t="shared" si="99"/>
        <v>0</v>
      </c>
      <c r="N249" s="170">
        <f t="shared" si="100"/>
        <v>0</v>
      </c>
      <c r="O249" s="216">
        <v>0</v>
      </c>
      <c r="P249" s="217">
        <v>0</v>
      </c>
      <c r="Q249" s="217">
        <v>0</v>
      </c>
      <c r="R249" s="217">
        <v>0</v>
      </c>
      <c r="S249" s="217">
        <v>0</v>
      </c>
      <c r="T249" s="217">
        <v>0</v>
      </c>
      <c r="U249" s="217">
        <v>0</v>
      </c>
      <c r="V249" s="217">
        <v>0</v>
      </c>
      <c r="W249" s="217">
        <v>0</v>
      </c>
      <c r="X249" s="217">
        <v>0</v>
      </c>
      <c r="Y249" s="252">
        <v>0</v>
      </c>
      <c r="Z249" s="168">
        <f t="shared" si="101"/>
        <v>0</v>
      </c>
      <c r="AA249" s="170">
        <f t="shared" si="102"/>
        <v>0</v>
      </c>
      <c r="AB249" s="795">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796">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069">
        <f t="shared" si="103"/>
        <v>0</v>
      </c>
      <c r="AE249" s="1073">
        <f t="shared" ref="AE249:AE276" si="106">SUMPRODUCT($B$74:$L$74,B249:L249)</f>
        <v>0</v>
      </c>
      <c r="AF249" s="1074">
        <f t="shared" ref="AF249:AF276" si="107">SUMPRODUCT($O$74:$Y$74,O249:Y249)</f>
        <v>0</v>
      </c>
      <c r="AG249" s="1074">
        <f t="shared" ref="AG249:AG276" si="108">SUM(AE249:AF249)</f>
        <v>0</v>
      </c>
      <c r="AH249" s="1015">
        <f t="shared" si="104"/>
        <v>0</v>
      </c>
      <c r="AI249" s="1075">
        <f t="shared" si="105"/>
        <v>0</v>
      </c>
    </row>
    <row r="250" spans="1:35" x14ac:dyDescent="0.2">
      <c r="A250" s="202">
        <v>2024</v>
      </c>
      <c r="B250" s="216">
        <v>0</v>
      </c>
      <c r="C250" s="217">
        <v>0</v>
      </c>
      <c r="D250" s="217">
        <v>0</v>
      </c>
      <c r="E250" s="217">
        <v>0</v>
      </c>
      <c r="F250" s="217">
        <v>0</v>
      </c>
      <c r="G250" s="217">
        <v>0</v>
      </c>
      <c r="H250" s="217">
        <v>0</v>
      </c>
      <c r="I250" s="217">
        <v>0</v>
      </c>
      <c r="J250" s="217">
        <v>0</v>
      </c>
      <c r="K250" s="217">
        <v>0</v>
      </c>
      <c r="L250" s="252">
        <v>0</v>
      </c>
      <c r="M250" s="168">
        <f t="shared" si="99"/>
        <v>0</v>
      </c>
      <c r="N250" s="170">
        <f t="shared" si="100"/>
        <v>0</v>
      </c>
      <c r="O250" s="216">
        <v>0</v>
      </c>
      <c r="P250" s="217">
        <v>0</v>
      </c>
      <c r="Q250" s="217">
        <v>0</v>
      </c>
      <c r="R250" s="217">
        <v>0</v>
      </c>
      <c r="S250" s="217">
        <v>0</v>
      </c>
      <c r="T250" s="217">
        <v>0</v>
      </c>
      <c r="U250" s="217">
        <v>0</v>
      </c>
      <c r="V250" s="217">
        <v>0</v>
      </c>
      <c r="W250" s="217">
        <v>0</v>
      </c>
      <c r="X250" s="217">
        <v>0</v>
      </c>
      <c r="Y250" s="252">
        <v>0</v>
      </c>
      <c r="Z250" s="168">
        <f t="shared" si="101"/>
        <v>0</v>
      </c>
      <c r="AA250" s="170">
        <f t="shared" si="102"/>
        <v>0</v>
      </c>
      <c r="AB250" s="795">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796">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069">
        <f t="shared" si="103"/>
        <v>0</v>
      </c>
      <c r="AE250" s="1073">
        <f t="shared" si="106"/>
        <v>0</v>
      </c>
      <c r="AF250" s="1074">
        <f t="shared" si="107"/>
        <v>0</v>
      </c>
      <c r="AG250" s="1074">
        <f t="shared" si="108"/>
        <v>0</v>
      </c>
      <c r="AH250" s="1015">
        <f t="shared" si="104"/>
        <v>0</v>
      </c>
      <c r="AI250" s="1075">
        <f t="shared" si="105"/>
        <v>0</v>
      </c>
    </row>
    <row r="251" spans="1:35" ht="13.5" thickBot="1" x14ac:dyDescent="0.25">
      <c r="A251" s="200">
        <v>2025</v>
      </c>
      <c r="B251" s="218">
        <v>0</v>
      </c>
      <c r="C251" s="219">
        <v>0</v>
      </c>
      <c r="D251" s="219">
        <v>0</v>
      </c>
      <c r="E251" s="219">
        <v>0</v>
      </c>
      <c r="F251" s="219">
        <v>0</v>
      </c>
      <c r="G251" s="219">
        <v>0</v>
      </c>
      <c r="H251" s="219">
        <v>0</v>
      </c>
      <c r="I251" s="219">
        <v>0</v>
      </c>
      <c r="J251" s="219">
        <v>0</v>
      </c>
      <c r="K251" s="219">
        <v>0</v>
      </c>
      <c r="L251" s="253">
        <v>0</v>
      </c>
      <c r="M251" s="182">
        <f t="shared" si="99"/>
        <v>0</v>
      </c>
      <c r="N251" s="184">
        <f t="shared" si="100"/>
        <v>0</v>
      </c>
      <c r="O251" s="218">
        <v>0</v>
      </c>
      <c r="P251" s="219">
        <v>0</v>
      </c>
      <c r="Q251" s="219">
        <v>0</v>
      </c>
      <c r="R251" s="219">
        <v>0</v>
      </c>
      <c r="S251" s="219">
        <v>0</v>
      </c>
      <c r="T251" s="219">
        <v>0</v>
      </c>
      <c r="U251" s="219">
        <v>0</v>
      </c>
      <c r="V251" s="219">
        <v>0</v>
      </c>
      <c r="W251" s="219">
        <v>0</v>
      </c>
      <c r="X251" s="219">
        <v>0</v>
      </c>
      <c r="Y251" s="253">
        <v>0</v>
      </c>
      <c r="Z251" s="182">
        <f t="shared" si="101"/>
        <v>0</v>
      </c>
      <c r="AA251" s="184">
        <f t="shared" si="102"/>
        <v>0</v>
      </c>
      <c r="AB251" s="795">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796">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069">
        <f t="shared" si="103"/>
        <v>0</v>
      </c>
      <c r="AE251" s="1073">
        <f t="shared" si="106"/>
        <v>0</v>
      </c>
      <c r="AF251" s="1074">
        <f t="shared" si="107"/>
        <v>0</v>
      </c>
      <c r="AG251" s="1074">
        <f t="shared" si="108"/>
        <v>0</v>
      </c>
      <c r="AH251" s="1015">
        <f t="shared" si="104"/>
        <v>0</v>
      </c>
      <c r="AI251" s="1075">
        <f t="shared" si="105"/>
        <v>0</v>
      </c>
    </row>
    <row r="252" spans="1:35" x14ac:dyDescent="0.2">
      <c r="A252" s="201">
        <v>2026</v>
      </c>
      <c r="B252" s="214">
        <v>0</v>
      </c>
      <c r="C252" s="215">
        <v>0</v>
      </c>
      <c r="D252" s="215">
        <v>0</v>
      </c>
      <c r="E252" s="215">
        <v>0</v>
      </c>
      <c r="F252" s="215">
        <v>0</v>
      </c>
      <c r="G252" s="215">
        <v>0</v>
      </c>
      <c r="H252" s="215">
        <v>0</v>
      </c>
      <c r="I252" s="215">
        <v>0</v>
      </c>
      <c r="J252" s="215">
        <v>0</v>
      </c>
      <c r="K252" s="215">
        <v>0</v>
      </c>
      <c r="L252" s="251">
        <v>0</v>
      </c>
      <c r="M252" s="154">
        <f t="shared" si="99"/>
        <v>0</v>
      </c>
      <c r="N252" s="156">
        <f t="shared" si="100"/>
        <v>0</v>
      </c>
      <c r="O252" s="214">
        <v>0</v>
      </c>
      <c r="P252" s="215">
        <v>0</v>
      </c>
      <c r="Q252" s="215">
        <v>0</v>
      </c>
      <c r="R252" s="215">
        <v>0</v>
      </c>
      <c r="S252" s="215">
        <v>0</v>
      </c>
      <c r="T252" s="215">
        <v>0</v>
      </c>
      <c r="U252" s="215">
        <v>0</v>
      </c>
      <c r="V252" s="215">
        <v>0</v>
      </c>
      <c r="W252" s="215">
        <v>0</v>
      </c>
      <c r="X252" s="215">
        <v>0</v>
      </c>
      <c r="Y252" s="251">
        <v>0</v>
      </c>
      <c r="Z252" s="154">
        <f t="shared" si="101"/>
        <v>0</v>
      </c>
      <c r="AA252" s="156">
        <f t="shared" si="102"/>
        <v>0</v>
      </c>
      <c r="AB252" s="795">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796">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069">
        <f t="shared" si="103"/>
        <v>0</v>
      </c>
      <c r="AE252" s="1073">
        <f t="shared" si="106"/>
        <v>0</v>
      </c>
      <c r="AF252" s="1074">
        <f t="shared" si="107"/>
        <v>0</v>
      </c>
      <c r="AG252" s="1074">
        <f t="shared" si="108"/>
        <v>0</v>
      </c>
      <c r="AH252" s="1015">
        <f t="shared" si="104"/>
        <v>0</v>
      </c>
      <c r="AI252" s="1075">
        <f t="shared" si="105"/>
        <v>0</v>
      </c>
    </row>
    <row r="253" spans="1:35" x14ac:dyDescent="0.2">
      <c r="A253" s="202">
        <v>2027</v>
      </c>
      <c r="B253" s="216">
        <v>0</v>
      </c>
      <c r="C253" s="217">
        <v>0</v>
      </c>
      <c r="D253" s="217">
        <v>0</v>
      </c>
      <c r="E253" s="217">
        <v>0</v>
      </c>
      <c r="F253" s="217">
        <v>0</v>
      </c>
      <c r="G253" s="217">
        <v>0</v>
      </c>
      <c r="H253" s="217">
        <v>0</v>
      </c>
      <c r="I253" s="217">
        <v>0</v>
      </c>
      <c r="J253" s="217">
        <v>0</v>
      </c>
      <c r="K253" s="217">
        <v>0</v>
      </c>
      <c r="L253" s="252">
        <v>0</v>
      </c>
      <c r="M253" s="168">
        <f t="shared" si="99"/>
        <v>0</v>
      </c>
      <c r="N253" s="170">
        <f t="shared" si="100"/>
        <v>0</v>
      </c>
      <c r="O253" s="216">
        <v>0</v>
      </c>
      <c r="P253" s="217">
        <v>0</v>
      </c>
      <c r="Q253" s="217">
        <v>0</v>
      </c>
      <c r="R253" s="217">
        <v>0</v>
      </c>
      <c r="S253" s="217">
        <v>0</v>
      </c>
      <c r="T253" s="217">
        <v>0</v>
      </c>
      <c r="U253" s="217">
        <v>0</v>
      </c>
      <c r="V253" s="217">
        <v>0</v>
      </c>
      <c r="W253" s="217">
        <v>0</v>
      </c>
      <c r="X253" s="217">
        <v>0</v>
      </c>
      <c r="Y253" s="252">
        <v>0</v>
      </c>
      <c r="Z253" s="168">
        <f t="shared" si="101"/>
        <v>0</v>
      </c>
      <c r="AA253" s="170">
        <f t="shared" si="102"/>
        <v>0</v>
      </c>
      <c r="AB253" s="795">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796">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069">
        <f t="shared" si="103"/>
        <v>0</v>
      </c>
      <c r="AE253" s="1073">
        <f t="shared" si="106"/>
        <v>0</v>
      </c>
      <c r="AF253" s="1074">
        <f t="shared" si="107"/>
        <v>0</v>
      </c>
      <c r="AG253" s="1074">
        <f t="shared" si="108"/>
        <v>0</v>
      </c>
      <c r="AH253" s="1015">
        <f t="shared" si="104"/>
        <v>0</v>
      </c>
      <c r="AI253" s="1075">
        <f t="shared" si="105"/>
        <v>0</v>
      </c>
    </row>
    <row r="254" spans="1:35" x14ac:dyDescent="0.2">
      <c r="A254" s="202">
        <v>2028</v>
      </c>
      <c r="B254" s="216">
        <v>0</v>
      </c>
      <c r="C254" s="217">
        <v>0</v>
      </c>
      <c r="D254" s="217">
        <v>0</v>
      </c>
      <c r="E254" s="217">
        <v>0</v>
      </c>
      <c r="F254" s="217">
        <v>0</v>
      </c>
      <c r="G254" s="217">
        <v>0</v>
      </c>
      <c r="H254" s="217">
        <v>0</v>
      </c>
      <c r="I254" s="217">
        <v>0</v>
      </c>
      <c r="J254" s="217">
        <v>0</v>
      </c>
      <c r="K254" s="217">
        <v>0</v>
      </c>
      <c r="L254" s="252">
        <v>0</v>
      </c>
      <c r="M254" s="168">
        <f t="shared" si="99"/>
        <v>0</v>
      </c>
      <c r="N254" s="170">
        <f t="shared" si="100"/>
        <v>0</v>
      </c>
      <c r="O254" s="216">
        <v>0</v>
      </c>
      <c r="P254" s="217">
        <v>0</v>
      </c>
      <c r="Q254" s="217">
        <v>0</v>
      </c>
      <c r="R254" s="217">
        <v>0</v>
      </c>
      <c r="S254" s="217">
        <v>0</v>
      </c>
      <c r="T254" s="217">
        <v>0</v>
      </c>
      <c r="U254" s="217">
        <v>0</v>
      </c>
      <c r="V254" s="217">
        <v>0</v>
      </c>
      <c r="W254" s="217">
        <v>0</v>
      </c>
      <c r="X254" s="217">
        <v>0</v>
      </c>
      <c r="Y254" s="252">
        <v>0</v>
      </c>
      <c r="Z254" s="168">
        <f t="shared" si="101"/>
        <v>0</v>
      </c>
      <c r="AA254" s="170">
        <f t="shared" si="102"/>
        <v>0</v>
      </c>
      <c r="AB254" s="795">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796">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069">
        <f t="shared" si="103"/>
        <v>0</v>
      </c>
      <c r="AE254" s="1073">
        <f t="shared" si="106"/>
        <v>0</v>
      </c>
      <c r="AF254" s="1074">
        <f t="shared" si="107"/>
        <v>0</v>
      </c>
      <c r="AG254" s="1074">
        <f t="shared" si="108"/>
        <v>0</v>
      </c>
      <c r="AH254" s="1015">
        <f t="shared" si="104"/>
        <v>0</v>
      </c>
      <c r="AI254" s="1075">
        <f t="shared" si="105"/>
        <v>0</v>
      </c>
    </row>
    <row r="255" spans="1:35" x14ac:dyDescent="0.2">
      <c r="A255" s="202">
        <v>2029</v>
      </c>
      <c r="B255" s="216">
        <v>0</v>
      </c>
      <c r="C255" s="217">
        <v>0</v>
      </c>
      <c r="D255" s="217">
        <v>0</v>
      </c>
      <c r="E255" s="217">
        <v>0</v>
      </c>
      <c r="F255" s="217">
        <v>0</v>
      </c>
      <c r="G255" s="217">
        <v>0</v>
      </c>
      <c r="H255" s="217">
        <v>0</v>
      </c>
      <c r="I255" s="217">
        <v>0</v>
      </c>
      <c r="J255" s="217">
        <v>0</v>
      </c>
      <c r="K255" s="217">
        <v>0</v>
      </c>
      <c r="L255" s="252">
        <v>0</v>
      </c>
      <c r="M255" s="168">
        <f t="shared" si="99"/>
        <v>0</v>
      </c>
      <c r="N255" s="170">
        <f t="shared" si="100"/>
        <v>0</v>
      </c>
      <c r="O255" s="216">
        <v>0</v>
      </c>
      <c r="P255" s="217">
        <v>0</v>
      </c>
      <c r="Q255" s="217">
        <v>0</v>
      </c>
      <c r="R255" s="217">
        <v>0</v>
      </c>
      <c r="S255" s="217">
        <v>0</v>
      </c>
      <c r="T255" s="217">
        <v>0</v>
      </c>
      <c r="U255" s="217">
        <v>0</v>
      </c>
      <c r="V255" s="217">
        <v>0</v>
      </c>
      <c r="W255" s="217">
        <v>0</v>
      </c>
      <c r="X255" s="217">
        <v>0</v>
      </c>
      <c r="Y255" s="252">
        <v>0</v>
      </c>
      <c r="Z255" s="168">
        <f t="shared" si="101"/>
        <v>0</v>
      </c>
      <c r="AA255" s="170">
        <f t="shared" si="102"/>
        <v>0</v>
      </c>
      <c r="AB255" s="795">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796">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069">
        <f t="shared" si="103"/>
        <v>0</v>
      </c>
      <c r="AE255" s="1073">
        <f t="shared" si="106"/>
        <v>0</v>
      </c>
      <c r="AF255" s="1074">
        <f t="shared" si="107"/>
        <v>0</v>
      </c>
      <c r="AG255" s="1074">
        <f t="shared" si="108"/>
        <v>0</v>
      </c>
      <c r="AH255" s="1015">
        <f t="shared" si="104"/>
        <v>0</v>
      </c>
      <c r="AI255" s="1075">
        <f t="shared" si="105"/>
        <v>0</v>
      </c>
    </row>
    <row r="256" spans="1:35" ht="13.5" thickBot="1" x14ac:dyDescent="0.25">
      <c r="A256" s="200">
        <v>2030</v>
      </c>
      <c r="B256" s="218">
        <v>0</v>
      </c>
      <c r="C256" s="219">
        <v>0</v>
      </c>
      <c r="D256" s="219">
        <v>0</v>
      </c>
      <c r="E256" s="219">
        <v>0</v>
      </c>
      <c r="F256" s="219">
        <v>0</v>
      </c>
      <c r="G256" s="219">
        <v>0</v>
      </c>
      <c r="H256" s="219">
        <v>0</v>
      </c>
      <c r="I256" s="219">
        <v>0</v>
      </c>
      <c r="J256" s="219">
        <v>0</v>
      </c>
      <c r="K256" s="219">
        <v>0</v>
      </c>
      <c r="L256" s="253">
        <v>0</v>
      </c>
      <c r="M256" s="182">
        <f t="shared" si="99"/>
        <v>0</v>
      </c>
      <c r="N256" s="184">
        <f t="shared" si="100"/>
        <v>0</v>
      </c>
      <c r="O256" s="218">
        <v>0</v>
      </c>
      <c r="P256" s="219">
        <v>0</v>
      </c>
      <c r="Q256" s="219">
        <v>0</v>
      </c>
      <c r="R256" s="219">
        <v>0</v>
      </c>
      <c r="S256" s="219">
        <v>0</v>
      </c>
      <c r="T256" s="219">
        <v>0</v>
      </c>
      <c r="U256" s="219">
        <v>0</v>
      </c>
      <c r="V256" s="219">
        <v>0</v>
      </c>
      <c r="W256" s="219">
        <v>0</v>
      </c>
      <c r="X256" s="219">
        <v>0</v>
      </c>
      <c r="Y256" s="253">
        <v>0</v>
      </c>
      <c r="Z256" s="182">
        <f t="shared" si="101"/>
        <v>0</v>
      </c>
      <c r="AA256" s="184">
        <f t="shared" si="102"/>
        <v>0</v>
      </c>
      <c r="AB256" s="795">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796">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069">
        <f t="shared" si="103"/>
        <v>0</v>
      </c>
      <c r="AE256" s="1073">
        <f t="shared" si="106"/>
        <v>0</v>
      </c>
      <c r="AF256" s="1074">
        <f t="shared" si="107"/>
        <v>0</v>
      </c>
      <c r="AG256" s="1074">
        <f t="shared" si="108"/>
        <v>0</v>
      </c>
      <c r="AH256" s="1015">
        <f t="shared" si="104"/>
        <v>0</v>
      </c>
      <c r="AI256" s="1075">
        <f t="shared" si="105"/>
        <v>0</v>
      </c>
    </row>
    <row r="257" spans="1:35" x14ac:dyDescent="0.2">
      <c r="A257" s="201">
        <v>2031</v>
      </c>
      <c r="B257" s="214">
        <v>0</v>
      </c>
      <c r="C257" s="215">
        <v>0</v>
      </c>
      <c r="D257" s="215">
        <v>0</v>
      </c>
      <c r="E257" s="215">
        <v>0</v>
      </c>
      <c r="F257" s="215">
        <v>0</v>
      </c>
      <c r="G257" s="215">
        <v>0</v>
      </c>
      <c r="H257" s="215">
        <v>0</v>
      </c>
      <c r="I257" s="215">
        <v>0</v>
      </c>
      <c r="J257" s="215">
        <v>0</v>
      </c>
      <c r="K257" s="215">
        <v>0</v>
      </c>
      <c r="L257" s="251">
        <v>0</v>
      </c>
      <c r="M257" s="154">
        <f t="shared" si="99"/>
        <v>0</v>
      </c>
      <c r="N257" s="156">
        <f t="shared" si="100"/>
        <v>0</v>
      </c>
      <c r="O257" s="214">
        <v>0</v>
      </c>
      <c r="P257" s="215">
        <v>0</v>
      </c>
      <c r="Q257" s="215">
        <v>0</v>
      </c>
      <c r="R257" s="215">
        <v>0</v>
      </c>
      <c r="S257" s="215">
        <v>0</v>
      </c>
      <c r="T257" s="215">
        <v>0</v>
      </c>
      <c r="U257" s="215">
        <v>0</v>
      </c>
      <c r="V257" s="215">
        <v>0</v>
      </c>
      <c r="W257" s="215">
        <v>0</v>
      </c>
      <c r="X257" s="215">
        <v>0</v>
      </c>
      <c r="Y257" s="251">
        <v>2.970330692383763E-4</v>
      </c>
      <c r="Z257" s="154">
        <f t="shared" si="101"/>
        <v>2.7023709741197032E-7</v>
      </c>
      <c r="AA257" s="156">
        <f t="shared" si="102"/>
        <v>3.2741952551342375E-8</v>
      </c>
      <c r="AB257" s="795">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796">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069">
        <f t="shared" si="103"/>
        <v>0</v>
      </c>
      <c r="AE257" s="1073">
        <f t="shared" si="106"/>
        <v>0</v>
      </c>
      <c r="AF257" s="1074">
        <f t="shared" si="107"/>
        <v>2.7023709741197032E-7</v>
      </c>
      <c r="AG257" s="1074">
        <f t="shared" si="108"/>
        <v>2.7023709741197032E-7</v>
      </c>
      <c r="AH257" s="1015">
        <f t="shared" si="104"/>
        <v>0</v>
      </c>
      <c r="AI257" s="1075">
        <f t="shared" si="105"/>
        <v>1</v>
      </c>
    </row>
    <row r="258" spans="1:35" x14ac:dyDescent="0.2">
      <c r="A258" s="202">
        <v>2032</v>
      </c>
      <c r="B258" s="216">
        <v>0</v>
      </c>
      <c r="C258" s="217">
        <v>0</v>
      </c>
      <c r="D258" s="217">
        <v>0</v>
      </c>
      <c r="E258" s="217">
        <v>0</v>
      </c>
      <c r="F258" s="217">
        <v>0</v>
      </c>
      <c r="G258" s="217">
        <v>0</v>
      </c>
      <c r="H258" s="217">
        <v>0</v>
      </c>
      <c r="I258" s="217">
        <v>0</v>
      </c>
      <c r="J258" s="217">
        <v>0</v>
      </c>
      <c r="K258" s="217">
        <v>0</v>
      </c>
      <c r="L258" s="252">
        <v>0</v>
      </c>
      <c r="M258" s="168">
        <f t="shared" si="99"/>
        <v>0</v>
      </c>
      <c r="N258" s="170">
        <f t="shared" si="100"/>
        <v>0</v>
      </c>
      <c r="O258" s="216">
        <v>0</v>
      </c>
      <c r="P258" s="217">
        <v>0</v>
      </c>
      <c r="Q258" s="217">
        <v>0</v>
      </c>
      <c r="R258" s="217">
        <v>0</v>
      </c>
      <c r="S258" s="217">
        <v>0</v>
      </c>
      <c r="T258" s="217">
        <v>0</v>
      </c>
      <c r="U258" s="217">
        <v>0</v>
      </c>
      <c r="V258" s="217">
        <v>0</v>
      </c>
      <c r="W258" s="217">
        <v>3.3874366147610855E-4</v>
      </c>
      <c r="X258" s="217">
        <v>8.6685111521856806E-4</v>
      </c>
      <c r="Y258" s="252">
        <v>4.5175984530923504E-3</v>
      </c>
      <c r="Z258" s="168">
        <f t="shared" si="101"/>
        <v>5.1799769317664647E-6</v>
      </c>
      <c r="AA258" s="170">
        <f t="shared" si="102"/>
        <v>6.6388566871245445E-7</v>
      </c>
      <c r="AB258" s="795">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796">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069">
        <f t="shared" si="103"/>
        <v>0</v>
      </c>
      <c r="AE258" s="1073">
        <f t="shared" si="106"/>
        <v>0</v>
      </c>
      <c r="AF258" s="1074">
        <f t="shared" si="107"/>
        <v>5.1799769317664647E-6</v>
      </c>
      <c r="AG258" s="1074">
        <f t="shared" si="108"/>
        <v>5.1799769317664647E-6</v>
      </c>
      <c r="AH258" s="1015">
        <f t="shared" si="104"/>
        <v>0</v>
      </c>
      <c r="AI258" s="1075">
        <f t="shared" si="105"/>
        <v>1</v>
      </c>
    </row>
    <row r="259" spans="1:35" x14ac:dyDescent="0.2">
      <c r="A259" s="202">
        <v>2033</v>
      </c>
      <c r="B259" s="216">
        <v>0</v>
      </c>
      <c r="C259" s="217">
        <v>0</v>
      </c>
      <c r="D259" s="217">
        <v>0</v>
      </c>
      <c r="E259" s="217">
        <v>0</v>
      </c>
      <c r="F259" s="217">
        <v>0</v>
      </c>
      <c r="G259" s="217">
        <v>0</v>
      </c>
      <c r="H259" s="217">
        <v>0</v>
      </c>
      <c r="I259" s="217">
        <v>0</v>
      </c>
      <c r="J259" s="217">
        <v>1.5159926713047655E-4</v>
      </c>
      <c r="K259" s="217">
        <v>1.4263954966324491E-3</v>
      </c>
      <c r="L259" s="252">
        <v>1.4263954966324491E-3</v>
      </c>
      <c r="M259" s="168">
        <f t="shared" si="99"/>
        <v>5.2923663418417239E-6</v>
      </c>
      <c r="N259" s="170">
        <f t="shared" si="100"/>
        <v>7.2137656329186457E-7</v>
      </c>
      <c r="O259" s="216">
        <v>0</v>
      </c>
      <c r="P259" s="217">
        <v>0</v>
      </c>
      <c r="Q259" s="217">
        <v>0</v>
      </c>
      <c r="R259" s="217">
        <v>0</v>
      </c>
      <c r="S259" s="217">
        <v>0</v>
      </c>
      <c r="T259" s="217">
        <v>0</v>
      </c>
      <c r="U259" s="217">
        <v>1.3453784752202709E-4</v>
      </c>
      <c r="V259" s="217">
        <v>1.28590951936374E-3</v>
      </c>
      <c r="W259" s="217">
        <v>4.9607461619081E-3</v>
      </c>
      <c r="X259" s="217">
        <v>8.0342793917052222E-3</v>
      </c>
      <c r="Y259" s="252">
        <v>2.0630781559366908E-2</v>
      </c>
      <c r="Z259" s="168">
        <f t="shared" si="101"/>
        <v>6.4171671970071267E-5</v>
      </c>
      <c r="AA259" s="170">
        <f t="shared" si="102"/>
        <v>1.0118019670668986E-5</v>
      </c>
      <c r="AB259" s="795">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796">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069">
        <f>AB259*AH259+AC259*AI259</f>
        <v>0</v>
      </c>
      <c r="AE259" s="1073">
        <f t="shared" si="106"/>
        <v>5.2923663418417239E-6</v>
      </c>
      <c r="AF259" s="1074">
        <f t="shared" si="107"/>
        <v>6.4171671970071267E-5</v>
      </c>
      <c r="AG259" s="1074">
        <f t="shared" si="108"/>
        <v>6.9464038311912993E-5</v>
      </c>
      <c r="AH259" s="1015">
        <f t="shared" si="104"/>
        <v>7.6188578586196154E-2</v>
      </c>
      <c r="AI259" s="1075">
        <f t="shared" si="105"/>
        <v>0.92381142141380379</v>
      </c>
    </row>
    <row r="260" spans="1:35" x14ac:dyDescent="0.2">
      <c r="A260" s="202">
        <v>2034</v>
      </c>
      <c r="B260" s="216">
        <v>0</v>
      </c>
      <c r="C260" s="217">
        <v>0</v>
      </c>
      <c r="D260" s="217">
        <v>0</v>
      </c>
      <c r="E260" s="217">
        <v>0</v>
      </c>
      <c r="F260" s="217">
        <v>0</v>
      </c>
      <c r="G260" s="217">
        <v>0</v>
      </c>
      <c r="H260" s="217">
        <v>6.7173906969823031E-5</v>
      </c>
      <c r="I260" s="217">
        <v>3.788092012436452E-4</v>
      </c>
      <c r="J260" s="217">
        <v>1.755745396934904E-3</v>
      </c>
      <c r="K260" s="217">
        <v>7.3983605913715209E-3</v>
      </c>
      <c r="L260" s="252">
        <v>7.3983605913715209E-3</v>
      </c>
      <c r="M260" s="168">
        <f t="shared" si="99"/>
        <v>2.8444209070626026E-5</v>
      </c>
      <c r="N260" s="170">
        <f t="shared" si="100"/>
        <v>3.9422079059365376E-6</v>
      </c>
      <c r="O260" s="216">
        <v>0</v>
      </c>
      <c r="P260" s="217">
        <v>0</v>
      </c>
      <c r="Q260" s="217">
        <v>0</v>
      </c>
      <c r="R260" s="217">
        <v>0</v>
      </c>
      <c r="S260" s="217">
        <v>0</v>
      </c>
      <c r="T260" s="217">
        <v>5.8177237105713578E-5</v>
      </c>
      <c r="U260" s="217">
        <v>1.1782069194950144E-3</v>
      </c>
      <c r="V260" s="217">
        <v>5.3224637679986702E-3</v>
      </c>
      <c r="W260" s="217">
        <v>1.3259420801908008E-2</v>
      </c>
      <c r="X260" s="217">
        <v>1.9870981494167397E-2</v>
      </c>
      <c r="Y260" s="252">
        <v>3.6724174163053291E-2</v>
      </c>
      <c r="Z260" s="168">
        <f t="shared" si="101"/>
        <v>2.1181345096404712E-4</v>
      </c>
      <c r="AA260" s="170">
        <f t="shared" si="102"/>
        <v>3.5802307659969062E-5</v>
      </c>
      <c r="AB260" s="795">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796">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069">
        <f t="shared" ref="AD260:AD276" si="109">AB260*AH260+AC260*AI260</f>
        <v>0</v>
      </c>
      <c r="AE260" s="1073">
        <f t="shared" si="106"/>
        <v>2.8444209070626026E-5</v>
      </c>
      <c r="AF260" s="1074">
        <f t="shared" si="107"/>
        <v>2.1181345096404712E-4</v>
      </c>
      <c r="AG260" s="1074">
        <f t="shared" si="108"/>
        <v>2.4025766003467314E-4</v>
      </c>
      <c r="AH260" s="1015">
        <f t="shared" si="104"/>
        <v>0.11839043577849322</v>
      </c>
      <c r="AI260" s="1075">
        <f t="shared" si="105"/>
        <v>0.88160956422150683</v>
      </c>
    </row>
    <row r="261" spans="1:35" ht="13.5" thickBot="1" x14ac:dyDescent="0.25">
      <c r="A261" s="200">
        <v>2035</v>
      </c>
      <c r="B261" s="218">
        <v>0</v>
      </c>
      <c r="C261" s="219">
        <v>0</v>
      </c>
      <c r="D261" s="219">
        <v>0</v>
      </c>
      <c r="E261" s="219">
        <v>0</v>
      </c>
      <c r="F261" s="219">
        <v>0</v>
      </c>
      <c r="G261" s="219">
        <v>0</v>
      </c>
      <c r="H261" s="219">
        <v>1.2319208576932591E-3</v>
      </c>
      <c r="I261" s="219">
        <v>3.7773418048991296E-3</v>
      </c>
      <c r="J261" s="219">
        <v>8.8821448777832296E-3</v>
      </c>
      <c r="K261" s="219">
        <v>2.2879754380729093E-2</v>
      </c>
      <c r="L261" s="253">
        <v>2.2879754380729093E-2</v>
      </c>
      <c r="M261" s="182">
        <f t="shared" si="99"/>
        <v>1.0312042953728489E-4</v>
      </c>
      <c r="N261" s="184">
        <f t="shared" si="100"/>
        <v>1.5250038625692427E-5</v>
      </c>
      <c r="O261" s="218">
        <v>0</v>
      </c>
      <c r="P261" s="219">
        <v>0</v>
      </c>
      <c r="Q261" s="219">
        <v>0</v>
      </c>
      <c r="R261" s="219">
        <v>0</v>
      </c>
      <c r="S261" s="219">
        <v>3.5851791150347172E-5</v>
      </c>
      <c r="T261" s="219">
        <v>8.1105209012460552E-4</v>
      </c>
      <c r="U261" s="219">
        <v>5.7152352497758805E-3</v>
      </c>
      <c r="V261" s="219">
        <v>1.5746990390885063E-2</v>
      </c>
      <c r="W261" s="219">
        <v>3.0488125354673025E-2</v>
      </c>
      <c r="X261" s="219">
        <v>3.8877202732987816E-2</v>
      </c>
      <c r="Y261" s="253">
        <v>5.5828526487924184E-2</v>
      </c>
      <c r="Z261" s="182">
        <f t="shared" si="101"/>
        <v>6.0423521093906933E-4</v>
      </c>
      <c r="AA261" s="184">
        <f t="shared" si="102"/>
        <v>1.0734589834267504E-4</v>
      </c>
      <c r="AB261" s="795">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796">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069">
        <f t="shared" si="109"/>
        <v>0</v>
      </c>
      <c r="AE261" s="1073">
        <f t="shared" si="106"/>
        <v>1.0312042953728489E-4</v>
      </c>
      <c r="AF261" s="1074">
        <f t="shared" si="107"/>
        <v>6.0423521093906933E-4</v>
      </c>
      <c r="AG261" s="1074">
        <f t="shared" si="108"/>
        <v>7.0735564047635425E-4</v>
      </c>
      <c r="AH261" s="1015">
        <f t="shared" si="104"/>
        <v>0.14578300311260761</v>
      </c>
      <c r="AI261" s="1075">
        <f t="shared" si="105"/>
        <v>0.85421699688739239</v>
      </c>
    </row>
    <row r="262" spans="1:35" x14ac:dyDescent="0.2">
      <c r="A262" s="201">
        <v>2036</v>
      </c>
      <c r="B262" s="214">
        <v>0</v>
      </c>
      <c r="C262" s="215">
        <v>0</v>
      </c>
      <c r="D262" s="215">
        <v>0</v>
      </c>
      <c r="E262" s="215">
        <v>0</v>
      </c>
      <c r="F262" s="215">
        <v>4.6373233984679334E-5</v>
      </c>
      <c r="G262" s="215">
        <v>6.4288736034859989E-4</v>
      </c>
      <c r="H262" s="215">
        <v>1.0122144269801438E-2</v>
      </c>
      <c r="I262" s="215">
        <v>1.7327414968212919E-2</v>
      </c>
      <c r="J262" s="215">
        <v>3.0744684390016607E-2</v>
      </c>
      <c r="K262" s="215">
        <v>4.9806693486085768E-2</v>
      </c>
      <c r="L262" s="251">
        <v>4.9806693486085768E-2</v>
      </c>
      <c r="M262" s="154">
        <f t="shared" si="99"/>
        <v>3.3587148462959249E-4</v>
      </c>
      <c r="N262" s="156">
        <f t="shared" si="100"/>
        <v>5.5805832586445397E-5</v>
      </c>
      <c r="O262" s="214">
        <v>0</v>
      </c>
      <c r="P262" s="215">
        <v>0</v>
      </c>
      <c r="Q262" s="215">
        <v>0</v>
      </c>
      <c r="R262" s="215">
        <v>0</v>
      </c>
      <c r="S262" s="215">
        <v>9.0121365010652796E-4</v>
      </c>
      <c r="T262" s="215">
        <v>6.4140331653411813E-3</v>
      </c>
      <c r="U262" s="215">
        <v>2.1762470558998714E-2</v>
      </c>
      <c r="V262" s="215">
        <v>4.0204409312589749E-2</v>
      </c>
      <c r="W262" s="215">
        <v>5.7985157236013628E-2</v>
      </c>
      <c r="X262" s="215">
        <v>6.6072460664170565E-2</v>
      </c>
      <c r="Y262" s="251">
        <v>8.679133833041236E-2</v>
      </c>
      <c r="Z262" s="154">
        <f t="shared" si="101"/>
        <v>1.6351459896698629E-3</v>
      </c>
      <c r="AA262" s="156">
        <f t="shared" si="102"/>
        <v>3.047380318272388E-4</v>
      </c>
      <c r="AB262" s="795">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796">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069">
        <f t="shared" si="109"/>
        <v>0</v>
      </c>
      <c r="AE262" s="1073">
        <f t="shared" si="106"/>
        <v>3.3587148462959249E-4</v>
      </c>
      <c r="AF262" s="1074">
        <f t="shared" si="107"/>
        <v>1.6351459896698629E-3</v>
      </c>
      <c r="AG262" s="1074">
        <f t="shared" si="108"/>
        <v>1.9710174742994554E-3</v>
      </c>
      <c r="AH262" s="1015">
        <f t="shared" si="104"/>
        <v>0.17040512781296821</v>
      </c>
      <c r="AI262" s="1075">
        <f t="shared" si="105"/>
        <v>0.82959487218703176</v>
      </c>
    </row>
    <row r="263" spans="1:35" x14ac:dyDescent="0.2">
      <c r="A263" s="202">
        <v>2037</v>
      </c>
      <c r="B263" s="216">
        <v>0</v>
      </c>
      <c r="C263" s="217">
        <v>0</v>
      </c>
      <c r="D263" s="217">
        <v>0</v>
      </c>
      <c r="E263" s="217">
        <v>0</v>
      </c>
      <c r="F263" s="217">
        <v>4.9473832311276657E-4</v>
      </c>
      <c r="G263" s="217">
        <v>3.027726636286001E-3</v>
      </c>
      <c r="H263" s="217">
        <v>2.0299975828288842E-2</v>
      </c>
      <c r="I263" s="217">
        <v>3.2567492267594637E-2</v>
      </c>
      <c r="J263" s="217">
        <v>4.8787135020733223E-2</v>
      </c>
      <c r="K263" s="217">
        <v>6.8305820743519E-2</v>
      </c>
      <c r="L263" s="252">
        <v>6.8305820743519E-2</v>
      </c>
      <c r="M263" s="168">
        <f t="shared" si="99"/>
        <v>5.6570844525290057E-4</v>
      </c>
      <c r="N263" s="170">
        <f t="shared" si="100"/>
        <v>9.8811212940571751E-5</v>
      </c>
      <c r="O263" s="216">
        <v>0</v>
      </c>
      <c r="P263" s="217">
        <v>0</v>
      </c>
      <c r="Q263" s="217">
        <v>0</v>
      </c>
      <c r="R263" s="217">
        <v>2.5766530970781584E-4</v>
      </c>
      <c r="S263" s="217">
        <v>3.5437178883926763E-3</v>
      </c>
      <c r="T263" s="217">
        <v>1.5273832133272561E-2</v>
      </c>
      <c r="U263" s="217">
        <v>3.6005958365604614E-2</v>
      </c>
      <c r="V263" s="217">
        <v>5.6974757519026399E-2</v>
      </c>
      <c r="W263" s="217">
        <v>7.3207341091637332E-2</v>
      </c>
      <c r="X263" s="217">
        <v>8.2054786776476138E-2</v>
      </c>
      <c r="Y263" s="252">
        <v>9.8887764810936557E-2</v>
      </c>
      <c r="Z263" s="168">
        <f t="shared" si="101"/>
        <v>2.4893847581685885E-3</v>
      </c>
      <c r="AA263" s="170">
        <f t="shared" si="102"/>
        <v>4.8068368307062717E-4</v>
      </c>
      <c r="AB263" s="795">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796">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069">
        <f t="shared" si="109"/>
        <v>0</v>
      </c>
      <c r="AE263" s="1073">
        <f t="shared" si="106"/>
        <v>5.6570844525290057E-4</v>
      </c>
      <c r="AF263" s="1074">
        <f t="shared" si="107"/>
        <v>2.4893847581685885E-3</v>
      </c>
      <c r="AG263" s="1074">
        <f t="shared" si="108"/>
        <v>3.0550932034214889E-3</v>
      </c>
      <c r="AH263" s="1015">
        <f t="shared" si="104"/>
        <v>0.1851689646061688</v>
      </c>
      <c r="AI263" s="1075">
        <f t="shared" si="105"/>
        <v>0.81483103539383128</v>
      </c>
    </row>
    <row r="264" spans="1:35" x14ac:dyDescent="0.2">
      <c r="A264" s="202">
        <v>2038</v>
      </c>
      <c r="B264" s="216">
        <v>0</v>
      </c>
      <c r="C264" s="217">
        <v>0</v>
      </c>
      <c r="D264" s="217">
        <v>0</v>
      </c>
      <c r="E264" s="217">
        <v>1.5874476658488752E-4</v>
      </c>
      <c r="F264" s="217">
        <v>2.8451635272420221E-3</v>
      </c>
      <c r="G264" s="217">
        <v>1.0258664003010195E-2</v>
      </c>
      <c r="H264" s="217">
        <v>4.1284563162806383E-2</v>
      </c>
      <c r="I264" s="217">
        <v>5.6175150099697015E-2</v>
      </c>
      <c r="J264" s="217">
        <v>7.2669022461549715E-2</v>
      </c>
      <c r="K264" s="217">
        <v>9.0641667519574295E-2</v>
      </c>
      <c r="L264" s="252">
        <v>9.0641667519574295E-2</v>
      </c>
      <c r="M264" s="168">
        <f t="shared" si="99"/>
        <v>1.0192447536403275E-3</v>
      </c>
      <c r="N264" s="170">
        <f t="shared" si="100"/>
        <v>1.9192636890147944E-4</v>
      </c>
      <c r="O264" s="216">
        <v>0</v>
      </c>
      <c r="P264" s="217">
        <v>0</v>
      </c>
      <c r="Q264" s="217">
        <v>0</v>
      </c>
      <c r="R264" s="217">
        <v>1.6044506584795835E-3</v>
      </c>
      <c r="S264" s="217">
        <v>1.0462397717784669E-2</v>
      </c>
      <c r="T264" s="217">
        <v>2.967236880754005E-2</v>
      </c>
      <c r="U264" s="217">
        <v>5.7006739043834326E-2</v>
      </c>
      <c r="V264" s="217">
        <v>7.8332738982671998E-2</v>
      </c>
      <c r="W264" s="217">
        <v>9.6087103424536927E-2</v>
      </c>
      <c r="X264" s="217">
        <v>0.10046785538298478</v>
      </c>
      <c r="Y264" s="252">
        <v>0.11711858463257048</v>
      </c>
      <c r="Z264" s="168">
        <f t="shared" si="101"/>
        <v>3.8010791845490212E-3</v>
      </c>
      <c r="AA264" s="170">
        <f t="shared" si="102"/>
        <v>7.6855545238946549E-4</v>
      </c>
      <c r="AB264" s="795">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796">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069">
        <f t="shared" si="109"/>
        <v>0</v>
      </c>
      <c r="AE264" s="1073">
        <f t="shared" si="106"/>
        <v>1.0192447536403275E-3</v>
      </c>
      <c r="AF264" s="1074">
        <f t="shared" si="107"/>
        <v>3.8010791845490212E-3</v>
      </c>
      <c r="AG264" s="1074">
        <f t="shared" si="108"/>
        <v>4.8203239381893487E-3</v>
      </c>
      <c r="AH264" s="1015">
        <f t="shared" si="104"/>
        <v>0.21144735638310336</v>
      </c>
      <c r="AI264" s="1075">
        <f t="shared" si="105"/>
        <v>0.78855264361689659</v>
      </c>
    </row>
    <row r="265" spans="1:35" x14ac:dyDescent="0.2">
      <c r="A265" s="202">
        <v>2039</v>
      </c>
      <c r="B265" s="216">
        <v>0</v>
      </c>
      <c r="C265" s="217">
        <v>0</v>
      </c>
      <c r="D265" s="217">
        <v>0</v>
      </c>
      <c r="E265" s="217">
        <v>1.4757658802287037E-3</v>
      </c>
      <c r="F265" s="217">
        <v>1.1207783088892581E-2</v>
      </c>
      <c r="G265" s="217">
        <v>2.6424924702316159E-2</v>
      </c>
      <c r="H265" s="217">
        <v>6.5034935577712144E-2</v>
      </c>
      <c r="I265" s="217">
        <v>7.8428298047198877E-2</v>
      </c>
      <c r="J265" s="217">
        <v>9.7552353522645824E-2</v>
      </c>
      <c r="K265" s="217">
        <v>0.11571920682556491</v>
      </c>
      <c r="L265" s="252">
        <v>0.11571920682556491</v>
      </c>
      <c r="M265" s="168">
        <f t="shared" si="99"/>
        <v>1.7071499692453227E-3</v>
      </c>
      <c r="N265" s="170">
        <f t="shared" si="100"/>
        <v>3.5558485191273755E-4</v>
      </c>
      <c r="O265" s="216">
        <v>0</v>
      </c>
      <c r="P265" s="217">
        <v>0</v>
      </c>
      <c r="Q265" s="217">
        <v>0</v>
      </c>
      <c r="R265" s="217">
        <v>6.1414252485307861E-3</v>
      </c>
      <c r="S265" s="217">
        <v>2.4312733120775493E-2</v>
      </c>
      <c r="T265" s="217">
        <v>4.9149563428979991E-2</v>
      </c>
      <c r="U265" s="217">
        <v>7.9379951484646299E-2</v>
      </c>
      <c r="V265" s="217">
        <v>9.8139511096174706E-2</v>
      </c>
      <c r="W265" s="217">
        <v>0.11700674804719656</v>
      </c>
      <c r="X265" s="217">
        <v>0.12064929246403536</v>
      </c>
      <c r="Y265" s="252">
        <v>0.13257181426550382</v>
      </c>
      <c r="Z265" s="168">
        <f t="shared" si="101"/>
        <v>5.4562690080740689E-3</v>
      </c>
      <c r="AA265" s="170">
        <f t="shared" si="102"/>
        <v>1.1763708706578279E-3</v>
      </c>
      <c r="AB265" s="795">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796">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069">
        <f t="shared" si="109"/>
        <v>0</v>
      </c>
      <c r="AE265" s="1073">
        <f t="shared" si="106"/>
        <v>1.7071499692453227E-3</v>
      </c>
      <c r="AF265" s="1074">
        <f t="shared" si="107"/>
        <v>5.4562690080740689E-3</v>
      </c>
      <c r="AG265" s="1074">
        <f t="shared" si="108"/>
        <v>7.1634189773193916E-3</v>
      </c>
      <c r="AH265" s="1015">
        <f t="shared" si="104"/>
        <v>0.23831496868331326</v>
      </c>
      <c r="AI265" s="1075">
        <f t="shared" si="105"/>
        <v>0.76168503131668674</v>
      </c>
    </row>
    <row r="266" spans="1:35" ht="13.5" thickBot="1" x14ac:dyDescent="0.25">
      <c r="A266" s="200">
        <v>2040</v>
      </c>
      <c r="B266" s="218">
        <v>0</v>
      </c>
      <c r="C266" s="219">
        <v>0</v>
      </c>
      <c r="D266" s="219">
        <v>0</v>
      </c>
      <c r="E266" s="219">
        <v>6.6787697783165104E-3</v>
      </c>
      <c r="F266" s="219">
        <v>2.6358285764698609E-2</v>
      </c>
      <c r="G266" s="219">
        <v>4.9372480603969641E-2</v>
      </c>
      <c r="H266" s="219">
        <v>9.0154548687686728E-2</v>
      </c>
      <c r="I266" s="219">
        <v>0.10568285940651947</v>
      </c>
      <c r="J266" s="219">
        <v>0.12023233208100889</v>
      </c>
      <c r="K266" s="219">
        <v>0.13375392551403678</v>
      </c>
      <c r="L266" s="253">
        <v>0.13375392551403678</v>
      </c>
      <c r="M266" s="182">
        <f t="shared" si="99"/>
        <v>2.7114202004951894E-3</v>
      </c>
      <c r="N266" s="184">
        <f t="shared" si="100"/>
        <v>6.3319467533428991E-4</v>
      </c>
      <c r="O266" s="218">
        <v>0</v>
      </c>
      <c r="P266" s="219">
        <v>0</v>
      </c>
      <c r="Q266" s="219">
        <v>3.8115045710725338E-4</v>
      </c>
      <c r="R266" s="219">
        <v>1.753737796504623E-2</v>
      </c>
      <c r="S266" s="219">
        <v>4.6062598571712444E-2</v>
      </c>
      <c r="T266" s="219">
        <v>7.6939055470929968E-2</v>
      </c>
      <c r="U266" s="219">
        <v>0.10704638455971241</v>
      </c>
      <c r="V266" s="219">
        <v>0.12097335469484022</v>
      </c>
      <c r="W266" s="219">
        <v>0.13449392923171988</v>
      </c>
      <c r="X266" s="219">
        <v>0.13864939999788642</v>
      </c>
      <c r="Y266" s="253">
        <v>0.14975171488642031</v>
      </c>
      <c r="Z266" s="182">
        <f t="shared" si="101"/>
        <v>7.9317726844337286E-3</v>
      </c>
      <c r="AA266" s="184">
        <f t="shared" si="102"/>
        <v>1.8527687132336762E-3</v>
      </c>
      <c r="AB266" s="795">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796">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069">
        <f t="shared" si="109"/>
        <v>0</v>
      </c>
      <c r="AE266" s="1073">
        <f t="shared" si="106"/>
        <v>2.7114202004951894E-3</v>
      </c>
      <c r="AF266" s="1074">
        <f t="shared" si="107"/>
        <v>7.9317726844337286E-3</v>
      </c>
      <c r="AG266" s="1074">
        <f t="shared" si="108"/>
        <v>1.0643192884928918E-2</v>
      </c>
      <c r="AH266" s="1015">
        <f t="shared" si="104"/>
        <v>0.25475627753910596</v>
      </c>
      <c r="AI266" s="1075">
        <f t="shared" si="105"/>
        <v>0.7452437224608941</v>
      </c>
    </row>
    <row r="267" spans="1:35" x14ac:dyDescent="0.2">
      <c r="A267" s="201">
        <v>2041</v>
      </c>
      <c r="B267" s="214">
        <v>0</v>
      </c>
      <c r="C267" s="215">
        <v>0</v>
      </c>
      <c r="D267" s="215">
        <v>5.9036698795146114E-4</v>
      </c>
      <c r="E267" s="215">
        <v>2.3932887449932144E-2</v>
      </c>
      <c r="F267" s="215">
        <v>5.4518909438556064E-2</v>
      </c>
      <c r="G267" s="215">
        <v>8.3505134248695365E-2</v>
      </c>
      <c r="H267" s="215">
        <v>0.12581268248654309</v>
      </c>
      <c r="I267" s="215">
        <v>0.13577492370576061</v>
      </c>
      <c r="J267" s="215">
        <v>0.14509338606953354</v>
      </c>
      <c r="K267" s="215">
        <v>0.15746296653594122</v>
      </c>
      <c r="L267" s="251">
        <v>0.15746296653594122</v>
      </c>
      <c r="M267" s="154">
        <f t="shared" si="99"/>
        <v>4.7707504108799367E-3</v>
      </c>
      <c r="N267" s="156">
        <f t="shared" si="100"/>
        <v>1.2728423858095971E-3</v>
      </c>
      <c r="O267" s="214">
        <v>0</v>
      </c>
      <c r="P267" s="215">
        <v>0</v>
      </c>
      <c r="Q267" s="215">
        <v>3.2797659677997436E-3</v>
      </c>
      <c r="R267" s="215">
        <v>4.3049649381626455E-2</v>
      </c>
      <c r="S267" s="215">
        <v>7.9306679037762548E-2</v>
      </c>
      <c r="T267" s="215">
        <v>0.11160512563336925</v>
      </c>
      <c r="U267" s="215">
        <v>0.13174030973882056</v>
      </c>
      <c r="V267" s="215">
        <v>0.14598570828950055</v>
      </c>
      <c r="W267" s="215">
        <v>0.1582836632733722</v>
      </c>
      <c r="X267" s="215">
        <v>0.16184618202311699</v>
      </c>
      <c r="Y267" s="251">
        <v>0.16803914810113343</v>
      </c>
      <c r="Z267" s="154">
        <f t="shared" si="101"/>
        <v>1.1726697586300792E-2</v>
      </c>
      <c r="AA267" s="156">
        <f t="shared" si="102"/>
        <v>3.0427039378075433E-3</v>
      </c>
      <c r="AB267" s="795">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796">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069">
        <f t="shared" si="109"/>
        <v>0</v>
      </c>
      <c r="AE267" s="1073">
        <f t="shared" si="106"/>
        <v>4.7707504108799367E-3</v>
      </c>
      <c r="AF267" s="1074">
        <f t="shared" si="107"/>
        <v>1.1726697586300792E-2</v>
      </c>
      <c r="AG267" s="1074">
        <f t="shared" si="108"/>
        <v>1.6497447997180729E-2</v>
      </c>
      <c r="AH267" s="1015">
        <f t="shared" si="104"/>
        <v>0.28918111526675017</v>
      </c>
      <c r="AI267" s="1075">
        <f t="shared" si="105"/>
        <v>0.71081888473324983</v>
      </c>
    </row>
    <row r="268" spans="1:35" x14ac:dyDescent="0.2">
      <c r="A268" s="202">
        <v>2042</v>
      </c>
      <c r="B268" s="216">
        <v>0</v>
      </c>
      <c r="C268" s="217">
        <v>0</v>
      </c>
      <c r="D268" s="217">
        <v>6.3341463873663843E-3</v>
      </c>
      <c r="E268" s="217">
        <v>6.0656045805742083E-2</v>
      </c>
      <c r="F268" s="217">
        <v>9.7533254865343907E-2</v>
      </c>
      <c r="G268" s="217">
        <v>0.12615987214248978</v>
      </c>
      <c r="H268" s="217">
        <v>0.15751162321851608</v>
      </c>
      <c r="I268" s="217">
        <v>0.16633731306619468</v>
      </c>
      <c r="J268" s="217">
        <v>0.17404631980622851</v>
      </c>
      <c r="K268" s="217">
        <v>0.18047287092241043</v>
      </c>
      <c r="L268" s="252">
        <v>0.18047287092241043</v>
      </c>
      <c r="M268" s="168">
        <f t="shared" si="99"/>
        <v>8.4270910733136827E-3</v>
      </c>
      <c r="N268" s="170">
        <f t="shared" si="100"/>
        <v>2.601524943654631E-3</v>
      </c>
      <c r="O268" s="216">
        <v>0</v>
      </c>
      <c r="P268" s="217">
        <v>0</v>
      </c>
      <c r="Q268" s="217">
        <v>1.7221029783944079E-2</v>
      </c>
      <c r="R268" s="217">
        <v>8.1794938798393863E-2</v>
      </c>
      <c r="S268" s="217">
        <v>0.1155971083768543</v>
      </c>
      <c r="T268" s="217">
        <v>0.14360286397905958</v>
      </c>
      <c r="U268" s="217">
        <v>0.16311282035108488</v>
      </c>
      <c r="V268" s="217">
        <v>0.17034189862655072</v>
      </c>
      <c r="W268" s="217">
        <v>0.17743012599181454</v>
      </c>
      <c r="X268" s="217">
        <v>0.18047287092241043</v>
      </c>
      <c r="Y268" s="252">
        <v>0.18544977832134851</v>
      </c>
      <c r="Z268" s="168">
        <f t="shared" si="101"/>
        <v>1.7371206184832032E-2</v>
      </c>
      <c r="AA268" s="170">
        <f t="shared" si="102"/>
        <v>5.0810909889527347E-3</v>
      </c>
      <c r="AB268" s="795">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796">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069">
        <f t="shared" si="109"/>
        <v>0</v>
      </c>
      <c r="AE268" s="1073">
        <f t="shared" si="106"/>
        <v>8.4270910733136827E-3</v>
      </c>
      <c r="AF268" s="1074">
        <f t="shared" si="107"/>
        <v>1.7371206184832032E-2</v>
      </c>
      <c r="AG268" s="1074">
        <f t="shared" si="108"/>
        <v>2.5798297258145714E-2</v>
      </c>
      <c r="AH268" s="1015">
        <f t="shared" si="104"/>
        <v>0.32665299531165221</v>
      </c>
      <c r="AI268" s="1075">
        <f t="shared" si="105"/>
        <v>0.67334700468834774</v>
      </c>
    </row>
    <row r="269" spans="1:35" x14ac:dyDescent="0.2">
      <c r="A269" s="202">
        <v>2043</v>
      </c>
      <c r="B269" s="216">
        <v>0</v>
      </c>
      <c r="C269" s="217">
        <v>8.5648428795531001E-5</v>
      </c>
      <c r="D269" s="217">
        <v>2.6360693916183221E-2</v>
      </c>
      <c r="E269" s="217">
        <v>9.969436590914095E-2</v>
      </c>
      <c r="F269" s="217">
        <v>0.13598988143354238</v>
      </c>
      <c r="G269" s="217">
        <v>0.15858296699815194</v>
      </c>
      <c r="H269" s="217">
        <v>0.18203207187868867</v>
      </c>
      <c r="I269" s="217">
        <v>0.18585642587568163</v>
      </c>
      <c r="J269" s="217">
        <v>0.19247795562528222</v>
      </c>
      <c r="K269" s="217">
        <v>0.19759448766933829</v>
      </c>
      <c r="L269" s="252">
        <v>0.19759448766933829</v>
      </c>
      <c r="M269" s="168">
        <f t="shared" si="99"/>
        <v>1.3244024936783054E-2</v>
      </c>
      <c r="N269" s="170">
        <f t="shared" si="100"/>
        <v>4.6533297214497909E-3</v>
      </c>
      <c r="O269" s="216">
        <v>0</v>
      </c>
      <c r="P269" s="217">
        <v>4.4673097729825437E-4</v>
      </c>
      <c r="Q269" s="217">
        <v>4.7525589261165117E-2</v>
      </c>
      <c r="R269" s="217">
        <v>0.12495061941903383</v>
      </c>
      <c r="S269" s="217">
        <v>0.15436947280782345</v>
      </c>
      <c r="T269" s="217">
        <v>0.1746614052728066</v>
      </c>
      <c r="U269" s="217">
        <v>0.18694744418718576</v>
      </c>
      <c r="V269" s="217">
        <v>0.1934241016094311</v>
      </c>
      <c r="W269" s="217">
        <v>0.19523507868008597</v>
      </c>
      <c r="X269" s="217">
        <v>0.19759448766933829</v>
      </c>
      <c r="Y269" s="252">
        <v>0.20149691649848919</v>
      </c>
      <c r="Z269" s="168">
        <f t="shared" si="101"/>
        <v>2.4615019077508984E-2</v>
      </c>
      <c r="AA269" s="170">
        <f t="shared" si="102"/>
        <v>8.0682630394179472E-3</v>
      </c>
      <c r="AB269" s="795">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796">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069">
        <f t="shared" si="109"/>
        <v>0</v>
      </c>
      <c r="AE269" s="1073">
        <f t="shared" si="106"/>
        <v>1.3244024936783054E-2</v>
      </c>
      <c r="AF269" s="1074">
        <f t="shared" si="107"/>
        <v>2.4615019077508984E-2</v>
      </c>
      <c r="AG269" s="1074">
        <f t="shared" si="108"/>
        <v>3.7859044014292034E-2</v>
      </c>
      <c r="AH269" s="1015">
        <f t="shared" si="104"/>
        <v>0.3498246002139766</v>
      </c>
      <c r="AI269" s="1075">
        <f t="shared" si="105"/>
        <v>0.65017539978602346</v>
      </c>
    </row>
    <row r="270" spans="1:35" x14ac:dyDescent="0.2">
      <c r="A270" s="202">
        <v>2044</v>
      </c>
      <c r="B270" s="216">
        <v>0</v>
      </c>
      <c r="C270" s="217">
        <v>2.0929779491852844E-3</v>
      </c>
      <c r="D270" s="217">
        <v>6.5291045024903266E-2</v>
      </c>
      <c r="E270" s="217">
        <v>0.14485788774239064</v>
      </c>
      <c r="F270" s="217">
        <v>0.17501247070600484</v>
      </c>
      <c r="G270" s="217">
        <v>0.18361028233461799</v>
      </c>
      <c r="H270" s="217">
        <v>0.20414986874895838</v>
      </c>
      <c r="I270" s="217">
        <v>0.20686005935594493</v>
      </c>
      <c r="J270" s="217">
        <v>0.20832304159150569</v>
      </c>
      <c r="K270" s="217">
        <v>0.21234116762589614</v>
      </c>
      <c r="L270" s="252">
        <v>0.21234116762589614</v>
      </c>
      <c r="M270" s="168">
        <f t="shared" si="99"/>
        <v>2.0274904685971488E-2</v>
      </c>
      <c r="N270" s="170">
        <f t="shared" si="100"/>
        <v>8.0396969375205567E-3</v>
      </c>
      <c r="O270" s="216">
        <v>0</v>
      </c>
      <c r="P270" s="217">
        <v>5.104219443280651E-3</v>
      </c>
      <c r="Q270" s="217">
        <v>9.3556025689417871E-2</v>
      </c>
      <c r="R270" s="217">
        <v>0.15691559589022241</v>
      </c>
      <c r="S270" s="217">
        <v>0.17876350365818394</v>
      </c>
      <c r="T270" s="217">
        <v>0.19754254001740823</v>
      </c>
      <c r="U270" s="217">
        <v>0.20414986874895838</v>
      </c>
      <c r="V270" s="217">
        <v>0.20914649304085717</v>
      </c>
      <c r="W270" s="217">
        <v>0.21098418576076597</v>
      </c>
      <c r="X270" s="217">
        <v>0.21234116762589614</v>
      </c>
      <c r="Y270" s="252">
        <v>0.21316956383158286</v>
      </c>
      <c r="Z270" s="168">
        <f t="shared" si="101"/>
        <v>3.3022780667099627E-2</v>
      </c>
      <c r="AA270" s="170">
        <f t="shared" si="102"/>
        <v>1.2459070739076617E-2</v>
      </c>
      <c r="AB270" s="795">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796">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069">
        <f t="shared" si="109"/>
        <v>0</v>
      </c>
      <c r="AE270" s="1073">
        <f t="shared" si="106"/>
        <v>2.0274904685971488E-2</v>
      </c>
      <c r="AF270" s="1074">
        <f t="shared" si="107"/>
        <v>3.3022780667099627E-2</v>
      </c>
      <c r="AG270" s="1074">
        <f t="shared" si="108"/>
        <v>5.3297685353071111E-2</v>
      </c>
      <c r="AH270" s="1015">
        <f t="shared" si="104"/>
        <v>0.38040872791492081</v>
      </c>
      <c r="AI270" s="1075">
        <f t="shared" si="105"/>
        <v>0.61959127208507925</v>
      </c>
    </row>
    <row r="271" spans="1:35" ht="13.5" thickBot="1" x14ac:dyDescent="0.25">
      <c r="A271" s="200">
        <v>2045</v>
      </c>
      <c r="B271" s="218">
        <v>0</v>
      </c>
      <c r="C271" s="219">
        <v>1.5416276331356867E-2</v>
      </c>
      <c r="D271" s="219">
        <v>0.10768268978386113</v>
      </c>
      <c r="E271" s="219">
        <v>0.17611350198602221</v>
      </c>
      <c r="F271" s="219">
        <v>0.19640538836401308</v>
      </c>
      <c r="G271" s="219">
        <v>0.20470705340222267</v>
      </c>
      <c r="H271" s="219">
        <v>0.21775907310692216</v>
      </c>
      <c r="I271" s="219">
        <v>0.2196096912825001</v>
      </c>
      <c r="J271" s="219">
        <v>0.22097201743904418</v>
      </c>
      <c r="K271" s="219">
        <v>0.22179790463646398</v>
      </c>
      <c r="L271" s="253">
        <v>0.22179790463646398</v>
      </c>
      <c r="M271" s="182">
        <f t="shared" si="99"/>
        <v>2.8168453046560793E-2</v>
      </c>
      <c r="N271" s="184">
        <f t="shared" si="100"/>
        <v>1.2815637092886932E-2</v>
      </c>
      <c r="O271" s="218">
        <v>0</v>
      </c>
      <c r="P271" s="219">
        <v>2.4456341504386834E-2</v>
      </c>
      <c r="Q271" s="219">
        <v>0.13206424436138009</v>
      </c>
      <c r="R271" s="219">
        <v>0.18682108056956651</v>
      </c>
      <c r="S271" s="219">
        <v>0.20602055972586453</v>
      </c>
      <c r="T271" s="219">
        <v>0.21271282681926529</v>
      </c>
      <c r="U271" s="219">
        <v>0.21775907310692216</v>
      </c>
      <c r="V271" s="219">
        <v>0.22097201743904418</v>
      </c>
      <c r="W271" s="219">
        <v>0.22179790463646398</v>
      </c>
      <c r="X271" s="219">
        <v>0.22179790463646398</v>
      </c>
      <c r="Y271" s="253">
        <v>0.22197799133731397</v>
      </c>
      <c r="Z271" s="182">
        <f t="shared" si="101"/>
        <v>4.4436700095829812E-2</v>
      </c>
      <c r="AA271" s="184">
        <f t="shared" si="102"/>
        <v>2.0177555094676818E-2</v>
      </c>
      <c r="AB271" s="795">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796">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069">
        <f t="shared" si="109"/>
        <v>0</v>
      </c>
      <c r="AE271" s="1073">
        <f t="shared" si="106"/>
        <v>2.8168453046560793E-2</v>
      </c>
      <c r="AF271" s="1074">
        <f t="shared" si="107"/>
        <v>4.4436700095829812E-2</v>
      </c>
      <c r="AG271" s="1074">
        <f t="shared" si="108"/>
        <v>7.2605153142390605E-2</v>
      </c>
      <c r="AH271" s="1015">
        <f t="shared" si="104"/>
        <v>0.38796768311083707</v>
      </c>
      <c r="AI271" s="1075">
        <f t="shared" si="105"/>
        <v>0.61203231688916293</v>
      </c>
    </row>
    <row r="272" spans="1:35" x14ac:dyDescent="0.2">
      <c r="A272" s="201">
        <v>2046</v>
      </c>
      <c r="B272" s="214">
        <v>0</v>
      </c>
      <c r="C272" s="215">
        <v>3.8084324188481899E-2</v>
      </c>
      <c r="D272" s="215">
        <v>0.13718298392312644</v>
      </c>
      <c r="E272" s="215">
        <v>0.19783774032587476</v>
      </c>
      <c r="F272" s="215">
        <v>0.21092448856303153</v>
      </c>
      <c r="G272" s="215">
        <v>0.21785869227979954</v>
      </c>
      <c r="H272" s="215">
        <v>0.22598922844315134</v>
      </c>
      <c r="I272" s="215">
        <v>0.22735231801952305</v>
      </c>
      <c r="J272" s="215">
        <v>0.2281740262264611</v>
      </c>
      <c r="K272" s="215">
        <v>0.22834370642906995</v>
      </c>
      <c r="L272" s="251">
        <v>0.22834370642906995</v>
      </c>
      <c r="M272" s="154">
        <f t="shared" si="99"/>
        <v>3.564983625453997E-2</v>
      </c>
      <c r="N272" s="156">
        <f t="shared" si="100"/>
        <v>1.8027999755496026E-2</v>
      </c>
      <c r="O272" s="214">
        <v>0</v>
      </c>
      <c r="P272" s="215">
        <v>5.5058769260470361E-2</v>
      </c>
      <c r="Q272" s="215">
        <v>0.14660991786546779</v>
      </c>
      <c r="R272" s="215">
        <v>0.20836627814393172</v>
      </c>
      <c r="S272" s="215">
        <v>0.21906013022336973</v>
      </c>
      <c r="T272" s="215">
        <v>0.22413302658883166</v>
      </c>
      <c r="U272" s="215">
        <v>0.22735231801952305</v>
      </c>
      <c r="V272" s="215">
        <v>0.2281740262264611</v>
      </c>
      <c r="W272" s="215">
        <v>0.22834370642906995</v>
      </c>
      <c r="X272" s="215">
        <v>0.22834370642906995</v>
      </c>
      <c r="Y272" s="251">
        <v>0.22817877806899636</v>
      </c>
      <c r="Z272" s="154">
        <f t="shared" si="101"/>
        <v>5.5910171815628025E-2</v>
      </c>
      <c r="AA272" s="156">
        <f t="shared" si="102"/>
        <v>2.9351699169020105E-2</v>
      </c>
      <c r="AB272" s="795">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796">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069">
        <f t="shared" si="109"/>
        <v>0</v>
      </c>
      <c r="AE272" s="1073">
        <f t="shared" si="106"/>
        <v>3.564983625453997E-2</v>
      </c>
      <c r="AF272" s="1074">
        <f t="shared" si="107"/>
        <v>5.5910171815628025E-2</v>
      </c>
      <c r="AG272" s="1074">
        <f t="shared" si="108"/>
        <v>9.1560008070167995E-2</v>
      </c>
      <c r="AH272" s="1015">
        <f t="shared" si="104"/>
        <v>0.38936034417143495</v>
      </c>
      <c r="AI272" s="1075">
        <f t="shared" si="105"/>
        <v>0.61063965582856505</v>
      </c>
    </row>
    <row r="273" spans="1:35" x14ac:dyDescent="0.2">
      <c r="A273" s="202">
        <v>2047</v>
      </c>
      <c r="B273" s="216">
        <v>0</v>
      </c>
      <c r="C273" s="217">
        <v>6.9938486844995873E-2</v>
      </c>
      <c r="D273" s="217">
        <v>0.15022940381019564</v>
      </c>
      <c r="E273" s="217">
        <v>0.21676408748890538</v>
      </c>
      <c r="F273" s="217">
        <v>0.22353497064331068</v>
      </c>
      <c r="G273" s="217">
        <v>0.22862075113335439</v>
      </c>
      <c r="H273" s="217">
        <v>0.23184030906526903</v>
      </c>
      <c r="I273" s="217">
        <v>0.23265770444870526</v>
      </c>
      <c r="J273" s="217">
        <v>0.23281926153024124</v>
      </c>
      <c r="K273" s="217">
        <v>0.23264784284359924</v>
      </c>
      <c r="L273" s="252">
        <v>0.23264784284359924</v>
      </c>
      <c r="M273" s="168">
        <f t="shared" si="99"/>
        <v>4.2837366716990059E-2</v>
      </c>
      <c r="N273" s="170">
        <f t="shared" si="100"/>
        <v>2.3633617814611336E-2</v>
      </c>
      <c r="O273" s="216">
        <v>0</v>
      </c>
      <c r="P273" s="217">
        <v>8.6539754325463278E-2</v>
      </c>
      <c r="Q273" s="217">
        <v>0.16551261272194653</v>
      </c>
      <c r="R273" s="217">
        <v>0.2203508745101721</v>
      </c>
      <c r="S273" s="217">
        <v>0.22629827317306236</v>
      </c>
      <c r="T273" s="217">
        <v>0.23047855471851275</v>
      </c>
      <c r="U273" s="217">
        <v>0.23265770444870526</v>
      </c>
      <c r="V273" s="217">
        <v>0.23281926153024124</v>
      </c>
      <c r="W273" s="217">
        <v>0.23281926153024124</v>
      </c>
      <c r="X273" s="217">
        <v>0.23264784284359924</v>
      </c>
      <c r="Y273" s="252">
        <v>0.23264784284359924</v>
      </c>
      <c r="Z273" s="168">
        <f t="shared" si="101"/>
        <v>6.7116617358801353E-2</v>
      </c>
      <c r="AA273" s="170">
        <f t="shared" si="102"/>
        <v>3.8663890948561236E-2</v>
      </c>
      <c r="AB273" s="795">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796">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069">
        <f t="shared" si="109"/>
        <v>0</v>
      </c>
      <c r="AE273" s="1073">
        <f t="shared" si="106"/>
        <v>4.2837366716990059E-2</v>
      </c>
      <c r="AF273" s="1074">
        <f t="shared" si="107"/>
        <v>6.7116617358801353E-2</v>
      </c>
      <c r="AG273" s="1074">
        <f t="shared" si="108"/>
        <v>0.10995398407579141</v>
      </c>
      <c r="AH273" s="1015">
        <f t="shared" si="104"/>
        <v>0.38959358387106929</v>
      </c>
      <c r="AI273" s="1075">
        <f t="shared" si="105"/>
        <v>0.61040641612893076</v>
      </c>
    </row>
    <row r="274" spans="1:35" x14ac:dyDescent="0.2">
      <c r="A274" s="202">
        <v>2048</v>
      </c>
      <c r="B274" s="216">
        <v>0</v>
      </c>
      <c r="C274" s="217">
        <v>9.8586551185976007E-2</v>
      </c>
      <c r="D274" s="217">
        <v>0.16426282505411455</v>
      </c>
      <c r="E274" s="217">
        <v>0.22339378587592634</v>
      </c>
      <c r="F274" s="217">
        <v>0.2328424811431013</v>
      </c>
      <c r="G274" s="217">
        <v>0.23353314212166942</v>
      </c>
      <c r="H274" s="217">
        <v>0.23570667490741512</v>
      </c>
      <c r="I274" s="217">
        <v>0.23586225937809716</v>
      </c>
      <c r="J274" s="217">
        <v>0.23568627923377808</v>
      </c>
      <c r="K274" s="217">
        <v>0.23568627923377808</v>
      </c>
      <c r="L274" s="252">
        <v>0.23568627923377808</v>
      </c>
      <c r="M274" s="168">
        <f t="shared" si="99"/>
        <v>4.8966101087365148E-2</v>
      </c>
      <c r="N274" s="170">
        <f t="shared" si="100"/>
        <v>2.8591630836201566E-2</v>
      </c>
      <c r="O274" s="216">
        <v>0</v>
      </c>
      <c r="P274" s="217">
        <v>0.10974878137391025</v>
      </c>
      <c r="Q274" s="217">
        <v>0.17164036725422765</v>
      </c>
      <c r="R274" s="217">
        <v>0.22658415285779085</v>
      </c>
      <c r="S274" s="217">
        <v>0.2345475774525401</v>
      </c>
      <c r="T274" s="217">
        <v>0.23489296646128979</v>
      </c>
      <c r="U274" s="217">
        <v>0.23570667490741512</v>
      </c>
      <c r="V274" s="217">
        <v>0.23586225937809716</v>
      </c>
      <c r="W274" s="217">
        <v>0.23568627923377808</v>
      </c>
      <c r="X274" s="217">
        <v>0.23568627923377808</v>
      </c>
      <c r="Y274" s="252">
        <v>0.23568627923377808</v>
      </c>
      <c r="Z274" s="168">
        <f t="shared" si="101"/>
        <v>7.4585813059361739E-2</v>
      </c>
      <c r="AA274" s="170">
        <f t="shared" si="102"/>
        <v>4.5114988629314914E-2</v>
      </c>
      <c r="AB274" s="795">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796">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069">
        <f t="shared" si="109"/>
        <v>0</v>
      </c>
      <c r="AE274" s="1073">
        <f t="shared" si="106"/>
        <v>4.8966101087365148E-2</v>
      </c>
      <c r="AF274" s="1074">
        <f t="shared" si="107"/>
        <v>7.4585813059361739E-2</v>
      </c>
      <c r="AG274" s="1074">
        <f t="shared" si="108"/>
        <v>0.12355191414672689</v>
      </c>
      <c r="AH274" s="1015">
        <f t="shared" si="104"/>
        <v>0.39632005238878237</v>
      </c>
      <c r="AI274" s="1075">
        <f t="shared" si="105"/>
        <v>0.60367994761121757</v>
      </c>
    </row>
    <row r="275" spans="1:35" x14ac:dyDescent="0.2">
      <c r="A275" s="202">
        <v>2049</v>
      </c>
      <c r="B275" s="216">
        <v>3.8553895126231387E-4</v>
      </c>
      <c r="C275" s="217">
        <v>0.11486176329470403</v>
      </c>
      <c r="D275" s="217">
        <v>0.17348341594112288</v>
      </c>
      <c r="E275" s="217">
        <v>0.22863262172672688</v>
      </c>
      <c r="F275" s="217">
        <v>0.23661571990908495</v>
      </c>
      <c r="G275" s="217">
        <v>0.23694084223994488</v>
      </c>
      <c r="H275" s="217">
        <v>0.23790300255715527</v>
      </c>
      <c r="I275" s="217">
        <v>0.23790300255715527</v>
      </c>
      <c r="J275" s="217">
        <v>0.23772387918676099</v>
      </c>
      <c r="K275" s="217">
        <v>0.23772387918676099</v>
      </c>
      <c r="L275" s="252">
        <v>0.23772387918676099</v>
      </c>
      <c r="M275" s="168">
        <f t="shared" si="99"/>
        <v>5.2624100931908994E-2</v>
      </c>
      <c r="N275" s="170">
        <f t="shared" si="100"/>
        <v>3.1551407141354307E-2</v>
      </c>
      <c r="O275" s="216">
        <v>4.7074229229812279E-4</v>
      </c>
      <c r="P275" s="217">
        <v>0.12560262082181159</v>
      </c>
      <c r="Q275" s="217">
        <v>0.17971280911124565</v>
      </c>
      <c r="R275" s="217">
        <v>0.23140146515842122</v>
      </c>
      <c r="S275" s="217">
        <v>0.2355828615116615</v>
      </c>
      <c r="T275" s="217">
        <v>0.2384151261268703</v>
      </c>
      <c r="U275" s="217">
        <v>0.23790300255715527</v>
      </c>
      <c r="V275" s="217">
        <v>0.23772387918676099</v>
      </c>
      <c r="W275" s="217">
        <v>0.23772387918676099</v>
      </c>
      <c r="X275" s="217">
        <v>0.23772387918676099</v>
      </c>
      <c r="Y275" s="252">
        <v>0.23772387918676099</v>
      </c>
      <c r="Z275" s="168">
        <f t="shared" si="101"/>
        <v>8.0028980294728311E-2</v>
      </c>
      <c r="AA275" s="170">
        <f t="shared" si="102"/>
        <v>4.9821699118666858E-2</v>
      </c>
      <c r="AB275" s="795">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796">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069">
        <f t="shared" si="109"/>
        <v>0</v>
      </c>
      <c r="AE275" s="1073">
        <f t="shared" si="106"/>
        <v>5.2624100931908994E-2</v>
      </c>
      <c r="AF275" s="1074">
        <f t="shared" si="107"/>
        <v>8.0028980294728311E-2</v>
      </c>
      <c r="AG275" s="1074">
        <f t="shared" si="108"/>
        <v>0.1326530812266373</v>
      </c>
      <c r="AH275" s="1015">
        <f t="shared" si="104"/>
        <v>0.39670470105402916</v>
      </c>
      <c r="AI275" s="1075">
        <f t="shared" si="105"/>
        <v>0.60329529894597089</v>
      </c>
    </row>
    <row r="276" spans="1:35" ht="13.5" thickBot="1" x14ac:dyDescent="0.25">
      <c r="A276" s="200">
        <v>2050</v>
      </c>
      <c r="B276" s="218">
        <v>6.7741460200566508E-3</v>
      </c>
      <c r="C276" s="219">
        <v>0.14478110500672178</v>
      </c>
      <c r="D276" s="219">
        <v>0.18097980972288844</v>
      </c>
      <c r="E276" s="219">
        <v>0.24069864481329731</v>
      </c>
      <c r="F276" s="219">
        <v>0.24098087353486794</v>
      </c>
      <c r="G276" s="219">
        <v>0.24178490119494908</v>
      </c>
      <c r="H276" s="219">
        <v>0.24174160428683794</v>
      </c>
      <c r="I276" s="219">
        <v>0.24174160428683794</v>
      </c>
      <c r="J276" s="219">
        <v>0.24174160428683794</v>
      </c>
      <c r="K276" s="219">
        <v>0.24174160428683794</v>
      </c>
      <c r="L276" s="253">
        <v>0.24174160428683794</v>
      </c>
      <c r="M276" s="182">
        <f t="shared" si="99"/>
        <v>5.8983461005016148E-2</v>
      </c>
      <c r="N276" s="184">
        <f t="shared" si="100"/>
        <v>3.747350549693805E-2</v>
      </c>
      <c r="O276" s="218">
        <v>6.9012480951494461E-3</v>
      </c>
      <c r="P276" s="219">
        <v>0.148271453110881</v>
      </c>
      <c r="Q276" s="219">
        <v>0.18365354964835284</v>
      </c>
      <c r="R276" s="219">
        <v>0.23962803225251791</v>
      </c>
      <c r="S276" s="219">
        <v>0.24247230751519352</v>
      </c>
      <c r="T276" s="219">
        <v>0.24192716375725448</v>
      </c>
      <c r="U276" s="219">
        <v>0.24174160428683794</v>
      </c>
      <c r="V276" s="219">
        <v>0.24174160428683794</v>
      </c>
      <c r="W276" s="219">
        <v>0.24174160428683794</v>
      </c>
      <c r="X276" s="219">
        <v>0.24174160428683794</v>
      </c>
      <c r="Y276" s="253">
        <v>0.24174160428683794</v>
      </c>
      <c r="Z276" s="182">
        <f t="shared" si="101"/>
        <v>8.8036455205343547E-2</v>
      </c>
      <c r="AA276" s="184">
        <f t="shared" si="102"/>
        <v>5.7833585186705463E-2</v>
      </c>
      <c r="AB276" s="797">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798">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070">
        <f t="shared" si="109"/>
        <v>0</v>
      </c>
      <c r="AE276" s="1076">
        <f t="shared" si="106"/>
        <v>5.8983461005016148E-2</v>
      </c>
      <c r="AF276" s="1077">
        <f t="shared" si="107"/>
        <v>8.8036455205343547E-2</v>
      </c>
      <c r="AG276" s="1077">
        <f t="shared" si="108"/>
        <v>0.1470199162103597</v>
      </c>
      <c r="AH276" s="1078">
        <f t="shared" si="104"/>
        <v>0.40119367855319116</v>
      </c>
      <c r="AI276" s="1079">
        <f t="shared" si="105"/>
        <v>0.59880632144680879</v>
      </c>
    </row>
    <row r="277" spans="1:35" x14ac:dyDescent="0.2">
      <c r="B277" s="99" t="s">
        <v>240</v>
      </c>
      <c r="U277" s="99" t="s">
        <v>240</v>
      </c>
      <c r="AI277" s="99"/>
    </row>
    <row r="278" spans="1:35" x14ac:dyDescent="0.2">
      <c r="AI278" s="99"/>
    </row>
    <row r="279" spans="1:35" ht="13.5" thickBot="1" x14ac:dyDescent="0.25">
      <c r="AI279" s="99"/>
    </row>
    <row r="280" spans="1:35" ht="15" x14ac:dyDescent="0.25">
      <c r="A280" s="205"/>
      <c r="B280" s="1539" t="s">
        <v>219</v>
      </c>
      <c r="C280" s="1540"/>
      <c r="D280" s="1540"/>
      <c r="E280" s="1540"/>
      <c r="F280" s="1540"/>
      <c r="G280" s="1540"/>
      <c r="H280" s="1540"/>
      <c r="I280" s="1540"/>
      <c r="J280" s="1540"/>
      <c r="K280" s="1540"/>
      <c r="L280" s="1540"/>
      <c r="M280" s="1540"/>
      <c r="N280" s="1541"/>
      <c r="O280" s="1539" t="s">
        <v>218</v>
      </c>
      <c r="P280" s="1540"/>
      <c r="Q280" s="1540"/>
      <c r="R280" s="1540"/>
      <c r="S280" s="1540"/>
      <c r="T280" s="1540"/>
      <c r="U280" s="1540"/>
      <c r="V280" s="1540"/>
      <c r="W280" s="1540"/>
      <c r="X280" s="1540"/>
      <c r="Y280" s="1540"/>
      <c r="Z280" s="1540"/>
      <c r="AA280" s="1541"/>
    </row>
    <row r="281" spans="1:35" x14ac:dyDescent="0.2">
      <c r="A281" s="196"/>
      <c r="B281" s="463" t="s">
        <v>121</v>
      </c>
      <c r="C281" s="464"/>
      <c r="D281" s="464"/>
      <c r="E281" s="464"/>
      <c r="F281" s="464"/>
      <c r="G281" s="464"/>
      <c r="H281" s="464"/>
      <c r="I281" s="464"/>
      <c r="J281" s="464"/>
      <c r="K281" s="464"/>
      <c r="L281" s="464"/>
      <c r="M281" s="254"/>
      <c r="N281" s="197"/>
      <c r="O281" s="463" t="s">
        <v>121</v>
      </c>
      <c r="P281" s="464"/>
      <c r="Q281" s="464"/>
      <c r="R281" s="464"/>
      <c r="S281" s="464"/>
      <c r="T281" s="464"/>
      <c r="U281" s="464"/>
      <c r="V281" s="464"/>
      <c r="W281" s="464"/>
      <c r="X281" s="464"/>
      <c r="Y281" s="464"/>
      <c r="Z281" s="254"/>
      <c r="AA281" s="197"/>
      <c r="AC281" s="801" t="s">
        <v>267</v>
      </c>
      <c r="AD281" s="106" t="b">
        <f>INDEX(TECH_OPT_FUEL2_Cls3,MATCH(RIGHT(O280),TECH_OPT_ROWS_Cls3,0))&lt;&gt;"N/A"</f>
        <v>1</v>
      </c>
    </row>
    <row r="282" spans="1:35" ht="13.5" thickBot="1" x14ac:dyDescent="0.25">
      <c r="A282" s="203"/>
      <c r="B282" s="210" t="s">
        <v>28</v>
      </c>
      <c r="C282" s="211" t="s">
        <v>29</v>
      </c>
      <c r="D282" s="211" t="s">
        <v>30</v>
      </c>
      <c r="E282" s="211" t="s">
        <v>31</v>
      </c>
      <c r="F282" s="211" t="s">
        <v>32</v>
      </c>
      <c r="G282" s="211" t="s">
        <v>33</v>
      </c>
      <c r="H282" s="211" t="s">
        <v>34</v>
      </c>
      <c r="I282" s="211" t="s">
        <v>35</v>
      </c>
      <c r="J282" s="211" t="s">
        <v>36</v>
      </c>
      <c r="K282" s="211" t="s">
        <v>37</v>
      </c>
      <c r="L282" s="249" t="s">
        <v>38</v>
      </c>
      <c r="M282" s="255" t="s">
        <v>122</v>
      </c>
      <c r="N282" s="204" t="s">
        <v>123</v>
      </c>
      <c r="O282" s="210" t="s">
        <v>28</v>
      </c>
      <c r="P282" s="211" t="s">
        <v>29</v>
      </c>
      <c r="Q282" s="211" t="s">
        <v>30</v>
      </c>
      <c r="R282" s="211" t="s">
        <v>31</v>
      </c>
      <c r="S282" s="211" t="s">
        <v>32</v>
      </c>
      <c r="T282" s="211" t="s">
        <v>33</v>
      </c>
      <c r="U282" s="211" t="s">
        <v>34</v>
      </c>
      <c r="V282" s="211" t="s">
        <v>35</v>
      </c>
      <c r="W282" s="211" t="s">
        <v>36</v>
      </c>
      <c r="X282" s="211" t="s">
        <v>37</v>
      </c>
      <c r="Y282" s="249" t="s">
        <v>38</v>
      </c>
      <c r="Z282" s="255" t="s">
        <v>122</v>
      </c>
      <c r="AA282" s="204" t="s">
        <v>123</v>
      </c>
      <c r="AB282" s="783"/>
      <c r="AC282" s="801" t="s">
        <v>268</v>
      </c>
      <c r="AD282" s="106">
        <f>MATCH(RIGHT(O280),TECH_OPT_ROWS_Cls3,0)</f>
        <v>6</v>
      </c>
    </row>
    <row r="283" spans="1:35" ht="14.25" thickTop="1" thickBot="1" x14ac:dyDescent="0.25">
      <c r="A283" s="220" t="s">
        <v>124</v>
      </c>
      <c r="B283" s="212">
        <f t="array" ref="B283:L283">TRANSPOSE(Cls3CentTruckShr)</f>
        <v>0.16490316390132354</v>
      </c>
      <c r="C283" s="213">
        <v>0.14150050624583405</v>
      </c>
      <c r="D283" s="213">
        <v>5.0842757108027201E-2</v>
      </c>
      <c r="E283" s="213">
        <v>1.7493235097392132E-2</v>
      </c>
      <c r="F283" s="213">
        <v>6.5645600537602268E-3</v>
      </c>
      <c r="G283" s="213">
        <v>1.3068268788829179E-4</v>
      </c>
      <c r="H283" s="213">
        <v>2.9863696966199553E-3</v>
      </c>
      <c r="I283" s="213">
        <v>0</v>
      </c>
      <c r="J283" s="213">
        <v>0</v>
      </c>
      <c r="K283" s="213">
        <v>5.0573390409248292E-4</v>
      </c>
      <c r="L283" s="250">
        <v>0</v>
      </c>
      <c r="M283" s="256"/>
      <c r="N283" s="208"/>
      <c r="O283" s="212">
        <f t="array" ref="O283:Y283">TRANSPOSE(Cls3NCentTruckShr)</f>
        <v>0.27324001996593789</v>
      </c>
      <c r="P283" s="213">
        <v>0.25610450783680394</v>
      </c>
      <c r="Q283" s="213">
        <v>4.6572125423937315E-2</v>
      </c>
      <c r="R283" s="213">
        <v>2.2779497082922668E-2</v>
      </c>
      <c r="S283" s="213">
        <v>5.0811779544371336E-3</v>
      </c>
      <c r="T283" s="213">
        <v>2.5955840495899339E-3</v>
      </c>
      <c r="U283" s="213">
        <v>4.3441677754441459E-3</v>
      </c>
      <c r="V283" s="213">
        <v>3.7558983870508854E-3</v>
      </c>
      <c r="W283" s="213">
        <v>4.897828379299261E-4</v>
      </c>
      <c r="X283" s="213">
        <v>0</v>
      </c>
      <c r="Y283" s="1052">
        <v>1.1022999100839563E-4</v>
      </c>
      <c r="Z283" s="1057"/>
      <c r="AA283" s="1058"/>
    </row>
    <row r="284" spans="1:35" x14ac:dyDescent="0.2">
      <c r="A284" s="203" t="s">
        <v>125</v>
      </c>
      <c r="B284" s="770">
        <f t="array" ref="B284:L284">TRANSPOSE(Cls3CentVMTShr)</f>
        <v>7.4407503791532936E-2</v>
      </c>
      <c r="C284" s="771">
        <v>0.15052192967997111</v>
      </c>
      <c r="D284" s="771">
        <v>8.9028098283245441E-2</v>
      </c>
      <c r="E284" s="771">
        <v>4.5356257743642811E-2</v>
      </c>
      <c r="F284" s="771">
        <v>2.1016507050137231E-2</v>
      </c>
      <c r="G284" s="771">
        <v>4.9007047894213725E-4</v>
      </c>
      <c r="H284" s="771">
        <v>1.4797621296467818E-2</v>
      </c>
      <c r="I284" s="771">
        <v>0</v>
      </c>
      <c r="J284" s="771">
        <v>0</v>
      </c>
      <c r="K284" s="771">
        <v>3.7103078033661591E-3</v>
      </c>
      <c r="L284" s="1053">
        <v>0</v>
      </c>
      <c r="M284" s="1054"/>
      <c r="N284" s="1055"/>
      <c r="O284" s="770">
        <f t="array" ref="O284:Y284">TRANSPOSE(Cls3NCentVMTShr)</f>
        <v>0.11481596497083862</v>
      </c>
      <c r="P284" s="771">
        <v>0.26987209279577573</v>
      </c>
      <c r="Q284" s="771">
        <v>8.3836105982992667E-2</v>
      </c>
      <c r="R284" s="771">
        <v>5.9842896537765707E-2</v>
      </c>
      <c r="S284" s="771">
        <v>1.6413649143963899E-2</v>
      </c>
      <c r="T284" s="771">
        <v>1.0165768727376887E-2</v>
      </c>
      <c r="U284" s="771">
        <v>2.0700108148562976E-2</v>
      </c>
      <c r="V284" s="771">
        <v>2.0956833812228508E-2</v>
      </c>
      <c r="W284" s="771">
        <v>3.1584958359553582E-3</v>
      </c>
      <c r="X284" s="771">
        <v>0</v>
      </c>
      <c r="Y284" s="772">
        <v>9.0978791723388369E-4</v>
      </c>
      <c r="Z284" s="1054"/>
      <c r="AA284" s="1055"/>
      <c r="AB284" s="1552" t="str">
        <f>"% of miles on f2 for Tech "&amp; RIGHT(O279)&amp;" adopters"</f>
        <v>% of miles on f2 for Tech  adopters</v>
      </c>
      <c r="AC284" s="1553"/>
      <c r="AD284" s="1554"/>
      <c r="AE284" s="1080" t="s">
        <v>295</v>
      </c>
      <c r="AF284" s="1081"/>
      <c r="AG284" s="1081"/>
      <c r="AH284" s="1071" t="s">
        <v>294</v>
      </c>
      <c r="AI284" s="1072"/>
    </row>
    <row r="285" spans="1:35" ht="13.5" thickBot="1" x14ac:dyDescent="0.25">
      <c r="A285" s="789" t="s">
        <v>266</v>
      </c>
      <c r="B285" s="780">
        <f t="array" ref="B285:L285">TRANSPOSE(Cls3CentVMT/OPDAYS_Cls3)</f>
        <v>49.202805162026571</v>
      </c>
      <c r="C285" s="781">
        <v>115.99623692884222</v>
      </c>
      <c r="D285" s="781">
        <v>190.94140758026836</v>
      </c>
      <c r="E285" s="781">
        <v>282.72824571583544</v>
      </c>
      <c r="F285" s="781">
        <v>349.10577157713089</v>
      </c>
      <c r="G285" s="781">
        <v>408.92399999999998</v>
      </c>
      <c r="H285" s="781">
        <v>540.31926836851005</v>
      </c>
      <c r="I285" s="781">
        <v>600</v>
      </c>
      <c r="J285" s="781">
        <v>680</v>
      </c>
      <c r="K285" s="781">
        <v>800.00000000000011</v>
      </c>
      <c r="L285" s="782">
        <v>800</v>
      </c>
      <c r="M285" s="778"/>
      <c r="N285" s="779"/>
      <c r="O285" s="780">
        <f t="array" ref="O285:Y285">TRANSPOSE(Cls3NCentVMT/OPDAYS_Cls3)</f>
        <v>45.820527909508108</v>
      </c>
      <c r="P285" s="781">
        <v>114.90604343518244</v>
      </c>
      <c r="Q285" s="781">
        <v>196.29405935940918</v>
      </c>
      <c r="R285" s="781">
        <v>286.46435582159182</v>
      </c>
      <c r="S285" s="781">
        <v>352.24339419308075</v>
      </c>
      <c r="T285" s="781">
        <v>427.07804424634116</v>
      </c>
      <c r="U285" s="781">
        <v>519.59880241076587</v>
      </c>
      <c r="V285" s="781">
        <v>608.4346682070543</v>
      </c>
      <c r="W285" s="781">
        <v>703.2</v>
      </c>
      <c r="X285" s="781">
        <v>760</v>
      </c>
      <c r="Y285" s="1056">
        <v>900</v>
      </c>
      <c r="Z285" s="790"/>
      <c r="AA285" s="779"/>
      <c r="AB285" s="792" t="s">
        <v>186</v>
      </c>
      <c r="AC285" s="793" t="s">
        <v>15</v>
      </c>
      <c r="AD285" s="794" t="s">
        <v>18</v>
      </c>
      <c r="AE285" s="202" t="s">
        <v>186</v>
      </c>
      <c r="AF285" s="1082" t="s">
        <v>15</v>
      </c>
      <c r="AG285" s="1082" t="s">
        <v>18</v>
      </c>
      <c r="AH285" s="1083" t="s">
        <v>186</v>
      </c>
      <c r="AI285" s="1084" t="s">
        <v>15</v>
      </c>
    </row>
    <row r="286" spans="1:35" ht="13.5" thickTop="1" x14ac:dyDescent="0.2">
      <c r="A286" s="198">
        <v>2007</v>
      </c>
      <c r="B286" s="214">
        <v>0</v>
      </c>
      <c r="C286" s="215">
        <v>0</v>
      </c>
      <c r="D286" s="215">
        <v>0</v>
      </c>
      <c r="E286" s="215">
        <v>0</v>
      </c>
      <c r="F286" s="215">
        <v>0</v>
      </c>
      <c r="G286" s="215">
        <v>0</v>
      </c>
      <c r="H286" s="215">
        <v>0</v>
      </c>
      <c r="I286" s="215">
        <v>0</v>
      </c>
      <c r="J286" s="215">
        <v>0</v>
      </c>
      <c r="K286" s="215">
        <v>0</v>
      </c>
      <c r="L286" s="251">
        <v>0</v>
      </c>
      <c r="M286" s="259">
        <f>SUMPRODUCT(B286:L286,$B$284:$L$284)</f>
        <v>0</v>
      </c>
      <c r="N286" s="156">
        <f>SUMPRODUCT(B286:L286,$B$283:$L$283)</f>
        <v>0</v>
      </c>
      <c r="O286" s="214">
        <v>0</v>
      </c>
      <c r="P286" s="215">
        <v>0</v>
      </c>
      <c r="Q286" s="215">
        <v>0</v>
      </c>
      <c r="R286" s="215">
        <v>0</v>
      </c>
      <c r="S286" s="215">
        <v>0</v>
      </c>
      <c r="T286" s="215">
        <v>0</v>
      </c>
      <c r="U286" s="215">
        <v>0</v>
      </c>
      <c r="V286" s="215">
        <v>0</v>
      </c>
      <c r="W286" s="215">
        <v>0</v>
      </c>
      <c r="X286" s="215">
        <v>0</v>
      </c>
      <c r="Y286" s="251">
        <v>0</v>
      </c>
      <c r="Z286" s="259">
        <f>SUMPRODUCT(O286:Y286,$O$284:$Y$284)</f>
        <v>0</v>
      </c>
      <c r="AA286" s="156">
        <f>SUMPRODUCT(O286:Y286,$O$283:$Y$283)</f>
        <v>0</v>
      </c>
      <c r="AB286" s="795">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796">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069">
        <f>AB286*AH286+AC286*AI286</f>
        <v>0</v>
      </c>
      <c r="AE286" s="1073">
        <f t="shared" ref="AE286:AE300" si="110">SUMPRODUCT($B$74:$L$74,B286:L286)</f>
        <v>0</v>
      </c>
      <c r="AF286" s="1074">
        <f t="shared" ref="AF286:AF300" si="111">SUMPRODUCT($O$74:$Y$74,O286:Y286)</f>
        <v>0</v>
      </c>
      <c r="AG286" s="1074">
        <f t="shared" ref="AG286:AG300" si="112">SUM(AE286:AF286)</f>
        <v>0</v>
      </c>
      <c r="AH286" s="1015">
        <f>IF(AG286&gt;0,AE286/AG286,0)</f>
        <v>0</v>
      </c>
      <c r="AI286" s="1075">
        <f>IF(AG286&gt;0,AF286/AG286,0)</f>
        <v>0</v>
      </c>
    </row>
    <row r="287" spans="1:35" x14ac:dyDescent="0.2">
      <c r="A287" s="199">
        <v>2008</v>
      </c>
      <c r="B287" s="216">
        <v>0</v>
      </c>
      <c r="C287" s="217">
        <v>0</v>
      </c>
      <c r="D287" s="217">
        <v>0</v>
      </c>
      <c r="E287" s="217">
        <v>0</v>
      </c>
      <c r="F287" s="217">
        <v>0</v>
      </c>
      <c r="G287" s="217">
        <v>0</v>
      </c>
      <c r="H287" s="217">
        <v>0</v>
      </c>
      <c r="I287" s="217">
        <v>0</v>
      </c>
      <c r="J287" s="217">
        <v>0</v>
      </c>
      <c r="K287" s="217">
        <v>0</v>
      </c>
      <c r="L287" s="252">
        <v>0</v>
      </c>
      <c r="M287" s="168">
        <f t="shared" ref="M287:M329" si="113">SUMPRODUCT(B287:L287,$B$284:$L$284)</f>
        <v>0</v>
      </c>
      <c r="N287" s="170">
        <f t="shared" ref="N287:N329" si="114">SUMPRODUCT(B287:L287,$B$283:$L$283)</f>
        <v>0</v>
      </c>
      <c r="O287" s="216">
        <v>0</v>
      </c>
      <c r="P287" s="217">
        <v>0</v>
      </c>
      <c r="Q287" s="217">
        <v>0</v>
      </c>
      <c r="R287" s="217">
        <v>0</v>
      </c>
      <c r="S287" s="217">
        <v>0</v>
      </c>
      <c r="T287" s="217">
        <v>0</v>
      </c>
      <c r="U287" s="217">
        <v>0</v>
      </c>
      <c r="V287" s="217">
        <v>0</v>
      </c>
      <c r="W287" s="217">
        <v>0</v>
      </c>
      <c r="X287" s="217">
        <v>0</v>
      </c>
      <c r="Y287" s="252">
        <v>0</v>
      </c>
      <c r="Z287" s="168">
        <f t="shared" ref="Z287:Z329" si="115">SUMPRODUCT(O287:Y287,$O$284:$Y$284)</f>
        <v>0</v>
      </c>
      <c r="AA287" s="170">
        <f t="shared" ref="AA287:AA329" si="116">SUMPRODUCT(O287:Y287,$O$283:$Y$283)</f>
        <v>0</v>
      </c>
      <c r="AB287" s="795">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796">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069">
        <f t="shared" ref="AD287:AD311" si="117">AB287*AH287+AC287*AI287</f>
        <v>0</v>
      </c>
      <c r="AE287" s="1073">
        <f t="shared" si="110"/>
        <v>0</v>
      </c>
      <c r="AF287" s="1074">
        <f t="shared" si="111"/>
        <v>0</v>
      </c>
      <c r="AG287" s="1074">
        <f t="shared" si="112"/>
        <v>0</v>
      </c>
      <c r="AH287" s="1015">
        <f t="shared" ref="AH287:AH329" si="118">IF(AG287&gt;0,AE287/AG287,0)</f>
        <v>0</v>
      </c>
      <c r="AI287" s="1075">
        <f t="shared" ref="AI287:AI329" si="119">IF(AG287&gt;0,AF287/AG287,0)</f>
        <v>0</v>
      </c>
    </row>
    <row r="288" spans="1:35" x14ac:dyDescent="0.2">
      <c r="A288" s="199">
        <v>2009</v>
      </c>
      <c r="B288" s="216">
        <v>0</v>
      </c>
      <c r="C288" s="217">
        <v>0</v>
      </c>
      <c r="D288" s="217">
        <v>0</v>
      </c>
      <c r="E288" s="217">
        <v>0</v>
      </c>
      <c r="F288" s="217">
        <v>0</v>
      </c>
      <c r="G288" s="217">
        <v>0</v>
      </c>
      <c r="H288" s="217">
        <v>0</v>
      </c>
      <c r="I288" s="217">
        <v>0</v>
      </c>
      <c r="J288" s="217">
        <v>0</v>
      </c>
      <c r="K288" s="217">
        <v>0</v>
      </c>
      <c r="L288" s="252">
        <v>0</v>
      </c>
      <c r="M288" s="168">
        <f t="shared" si="113"/>
        <v>0</v>
      </c>
      <c r="N288" s="170">
        <f t="shared" si="114"/>
        <v>0</v>
      </c>
      <c r="O288" s="216">
        <v>0</v>
      </c>
      <c r="P288" s="217">
        <v>0</v>
      </c>
      <c r="Q288" s="217">
        <v>0</v>
      </c>
      <c r="R288" s="217">
        <v>0</v>
      </c>
      <c r="S288" s="217">
        <v>0</v>
      </c>
      <c r="T288" s="217">
        <v>0</v>
      </c>
      <c r="U288" s="217">
        <v>0</v>
      </c>
      <c r="V288" s="217">
        <v>0</v>
      </c>
      <c r="W288" s="217">
        <v>0</v>
      </c>
      <c r="X288" s="217">
        <v>0</v>
      </c>
      <c r="Y288" s="252">
        <v>0</v>
      </c>
      <c r="Z288" s="168">
        <f t="shared" si="115"/>
        <v>0</v>
      </c>
      <c r="AA288" s="170">
        <f t="shared" si="116"/>
        <v>0</v>
      </c>
      <c r="AB288" s="795">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796">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069">
        <f t="shared" si="117"/>
        <v>0</v>
      </c>
      <c r="AE288" s="1073">
        <f t="shared" si="110"/>
        <v>0</v>
      </c>
      <c r="AF288" s="1074">
        <f t="shared" si="111"/>
        <v>0</v>
      </c>
      <c r="AG288" s="1074">
        <f t="shared" si="112"/>
        <v>0</v>
      </c>
      <c r="AH288" s="1015">
        <f t="shared" si="118"/>
        <v>0</v>
      </c>
      <c r="AI288" s="1075">
        <f t="shared" si="119"/>
        <v>0</v>
      </c>
    </row>
    <row r="289" spans="1:35" ht="13.5" thickBot="1" x14ac:dyDescent="0.25">
      <c r="A289" s="200">
        <v>2010</v>
      </c>
      <c r="B289" s="218">
        <v>0</v>
      </c>
      <c r="C289" s="219">
        <v>0</v>
      </c>
      <c r="D289" s="219">
        <v>0</v>
      </c>
      <c r="E289" s="219">
        <v>0</v>
      </c>
      <c r="F289" s="219">
        <v>0</v>
      </c>
      <c r="G289" s="219">
        <v>0</v>
      </c>
      <c r="H289" s="219">
        <v>0</v>
      </c>
      <c r="I289" s="219">
        <v>0</v>
      </c>
      <c r="J289" s="219">
        <v>0</v>
      </c>
      <c r="K289" s="219">
        <v>0</v>
      </c>
      <c r="L289" s="253">
        <v>0</v>
      </c>
      <c r="M289" s="182">
        <f t="shared" si="113"/>
        <v>0</v>
      </c>
      <c r="N289" s="184">
        <f t="shared" si="114"/>
        <v>0</v>
      </c>
      <c r="O289" s="218">
        <v>0</v>
      </c>
      <c r="P289" s="219">
        <v>0</v>
      </c>
      <c r="Q289" s="219">
        <v>0</v>
      </c>
      <c r="R289" s="219">
        <v>0</v>
      </c>
      <c r="S289" s="219">
        <v>0</v>
      </c>
      <c r="T289" s="219">
        <v>0</v>
      </c>
      <c r="U289" s="219">
        <v>0</v>
      </c>
      <c r="V289" s="219">
        <v>0</v>
      </c>
      <c r="W289" s="219">
        <v>0</v>
      </c>
      <c r="X289" s="219">
        <v>0</v>
      </c>
      <c r="Y289" s="253">
        <v>0</v>
      </c>
      <c r="Z289" s="182">
        <f t="shared" si="115"/>
        <v>0</v>
      </c>
      <c r="AA289" s="184">
        <f t="shared" si="116"/>
        <v>0</v>
      </c>
      <c r="AB289" s="795">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796">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069">
        <f t="shared" si="117"/>
        <v>0</v>
      </c>
      <c r="AE289" s="1073">
        <f t="shared" si="110"/>
        <v>0</v>
      </c>
      <c r="AF289" s="1074">
        <f t="shared" si="111"/>
        <v>0</v>
      </c>
      <c r="AG289" s="1074">
        <f t="shared" si="112"/>
        <v>0</v>
      </c>
      <c r="AH289" s="1015">
        <f t="shared" si="118"/>
        <v>0</v>
      </c>
      <c r="AI289" s="1075">
        <f t="shared" si="119"/>
        <v>0</v>
      </c>
    </row>
    <row r="290" spans="1:35" x14ac:dyDescent="0.2">
      <c r="A290" s="201">
        <v>2011</v>
      </c>
      <c r="B290" s="214">
        <v>0</v>
      </c>
      <c r="C290" s="215">
        <v>0</v>
      </c>
      <c r="D290" s="215">
        <v>0</v>
      </c>
      <c r="E290" s="215">
        <v>0</v>
      </c>
      <c r="F290" s="215">
        <v>0</v>
      </c>
      <c r="G290" s="215">
        <v>0</v>
      </c>
      <c r="H290" s="215">
        <v>0</v>
      </c>
      <c r="I290" s="215">
        <v>0</v>
      </c>
      <c r="J290" s="215">
        <v>0</v>
      </c>
      <c r="K290" s="215">
        <v>0</v>
      </c>
      <c r="L290" s="251">
        <v>0</v>
      </c>
      <c r="M290" s="154">
        <f t="shared" si="113"/>
        <v>0</v>
      </c>
      <c r="N290" s="156">
        <f t="shared" si="114"/>
        <v>0</v>
      </c>
      <c r="O290" s="214">
        <v>0</v>
      </c>
      <c r="P290" s="215">
        <v>0</v>
      </c>
      <c r="Q290" s="215">
        <v>0</v>
      </c>
      <c r="R290" s="215">
        <v>0</v>
      </c>
      <c r="S290" s="215">
        <v>0</v>
      </c>
      <c r="T290" s="215">
        <v>0</v>
      </c>
      <c r="U290" s="215">
        <v>0</v>
      </c>
      <c r="V290" s="215">
        <v>0</v>
      </c>
      <c r="W290" s="215">
        <v>0</v>
      </c>
      <c r="X290" s="215">
        <v>0</v>
      </c>
      <c r="Y290" s="251">
        <v>0</v>
      </c>
      <c r="Z290" s="154">
        <f t="shared" si="115"/>
        <v>0</v>
      </c>
      <c r="AA290" s="156">
        <f t="shared" si="116"/>
        <v>0</v>
      </c>
      <c r="AB290" s="795">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796">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069">
        <f t="shared" si="117"/>
        <v>0</v>
      </c>
      <c r="AE290" s="1073">
        <f t="shared" si="110"/>
        <v>0</v>
      </c>
      <c r="AF290" s="1074">
        <f t="shared" si="111"/>
        <v>0</v>
      </c>
      <c r="AG290" s="1074">
        <f t="shared" si="112"/>
        <v>0</v>
      </c>
      <c r="AH290" s="1015">
        <f t="shared" si="118"/>
        <v>0</v>
      </c>
      <c r="AI290" s="1075">
        <f t="shared" si="119"/>
        <v>0</v>
      </c>
    </row>
    <row r="291" spans="1:35" x14ac:dyDescent="0.2">
      <c r="A291" s="202">
        <v>2012</v>
      </c>
      <c r="B291" s="216">
        <v>0</v>
      </c>
      <c r="C291" s="217">
        <v>0</v>
      </c>
      <c r="D291" s="217">
        <v>0</v>
      </c>
      <c r="E291" s="217">
        <v>0</v>
      </c>
      <c r="F291" s="217">
        <v>0</v>
      </c>
      <c r="G291" s="217">
        <v>0</v>
      </c>
      <c r="H291" s="217">
        <v>0</v>
      </c>
      <c r="I291" s="217">
        <v>0</v>
      </c>
      <c r="J291" s="217">
        <v>0</v>
      </c>
      <c r="K291" s="217">
        <v>0</v>
      </c>
      <c r="L291" s="252">
        <v>0</v>
      </c>
      <c r="M291" s="168">
        <f t="shared" si="113"/>
        <v>0</v>
      </c>
      <c r="N291" s="170">
        <f t="shared" si="114"/>
        <v>0</v>
      </c>
      <c r="O291" s="216">
        <v>0</v>
      </c>
      <c r="P291" s="217">
        <v>0</v>
      </c>
      <c r="Q291" s="217">
        <v>0</v>
      </c>
      <c r="R291" s="217">
        <v>0</v>
      </c>
      <c r="S291" s="217">
        <v>0</v>
      </c>
      <c r="T291" s="217">
        <v>0</v>
      </c>
      <c r="U291" s="217">
        <v>0</v>
      </c>
      <c r="V291" s="217">
        <v>0</v>
      </c>
      <c r="W291" s="217">
        <v>0</v>
      </c>
      <c r="X291" s="217">
        <v>0</v>
      </c>
      <c r="Y291" s="252">
        <v>0</v>
      </c>
      <c r="Z291" s="168">
        <f t="shared" si="115"/>
        <v>0</v>
      </c>
      <c r="AA291" s="170">
        <f t="shared" si="116"/>
        <v>0</v>
      </c>
      <c r="AB291" s="795">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796">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069">
        <f t="shared" si="117"/>
        <v>0</v>
      </c>
      <c r="AE291" s="1073">
        <f t="shared" si="110"/>
        <v>0</v>
      </c>
      <c r="AF291" s="1074">
        <f t="shared" si="111"/>
        <v>0</v>
      </c>
      <c r="AG291" s="1074">
        <f t="shared" si="112"/>
        <v>0</v>
      </c>
      <c r="AH291" s="1015">
        <f t="shared" si="118"/>
        <v>0</v>
      </c>
      <c r="AI291" s="1075">
        <f t="shared" si="119"/>
        <v>0</v>
      </c>
    </row>
    <row r="292" spans="1:35" x14ac:dyDescent="0.2">
      <c r="A292" s="202">
        <v>2013</v>
      </c>
      <c r="B292" s="216">
        <v>0</v>
      </c>
      <c r="C292" s="217">
        <v>0</v>
      </c>
      <c r="D292" s="217">
        <v>0</v>
      </c>
      <c r="E292" s="217">
        <v>0</v>
      </c>
      <c r="F292" s="217">
        <v>0</v>
      </c>
      <c r="G292" s="217">
        <v>0</v>
      </c>
      <c r="H292" s="217">
        <v>0</v>
      </c>
      <c r="I292" s="217">
        <v>0</v>
      </c>
      <c r="J292" s="217">
        <v>0</v>
      </c>
      <c r="K292" s="217">
        <v>0</v>
      </c>
      <c r="L292" s="252">
        <v>0</v>
      </c>
      <c r="M292" s="168">
        <f t="shared" si="113"/>
        <v>0</v>
      </c>
      <c r="N292" s="170">
        <f t="shared" si="114"/>
        <v>0</v>
      </c>
      <c r="O292" s="216">
        <v>0</v>
      </c>
      <c r="P292" s="217">
        <v>0</v>
      </c>
      <c r="Q292" s="217">
        <v>0</v>
      </c>
      <c r="R292" s="217">
        <v>0</v>
      </c>
      <c r="S292" s="217">
        <v>0</v>
      </c>
      <c r="T292" s="217">
        <v>0</v>
      </c>
      <c r="U292" s="217">
        <v>0</v>
      </c>
      <c r="V292" s="217">
        <v>0</v>
      </c>
      <c r="W292" s="217">
        <v>0</v>
      </c>
      <c r="X292" s="217">
        <v>0</v>
      </c>
      <c r="Y292" s="252">
        <v>0</v>
      </c>
      <c r="Z292" s="168">
        <f t="shared" si="115"/>
        <v>0</v>
      </c>
      <c r="AA292" s="170">
        <f t="shared" si="116"/>
        <v>0</v>
      </c>
      <c r="AB292" s="795">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796">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069">
        <f t="shared" si="117"/>
        <v>0</v>
      </c>
      <c r="AE292" s="1073">
        <f t="shared" si="110"/>
        <v>0</v>
      </c>
      <c r="AF292" s="1074">
        <f t="shared" si="111"/>
        <v>0</v>
      </c>
      <c r="AG292" s="1074">
        <f t="shared" si="112"/>
        <v>0</v>
      </c>
      <c r="AH292" s="1015">
        <f t="shared" si="118"/>
        <v>0</v>
      </c>
      <c r="AI292" s="1075">
        <f t="shared" si="119"/>
        <v>0</v>
      </c>
    </row>
    <row r="293" spans="1:35" x14ac:dyDescent="0.2">
      <c r="A293" s="202">
        <v>2014</v>
      </c>
      <c r="B293" s="216">
        <v>0</v>
      </c>
      <c r="C293" s="217">
        <v>0</v>
      </c>
      <c r="D293" s="217">
        <v>0</v>
      </c>
      <c r="E293" s="217">
        <v>0</v>
      </c>
      <c r="F293" s="217">
        <v>0</v>
      </c>
      <c r="G293" s="217">
        <v>0</v>
      </c>
      <c r="H293" s="217">
        <v>0</v>
      </c>
      <c r="I293" s="217">
        <v>0</v>
      </c>
      <c r="J293" s="217">
        <v>0</v>
      </c>
      <c r="K293" s="217">
        <v>0</v>
      </c>
      <c r="L293" s="252">
        <v>0</v>
      </c>
      <c r="M293" s="168">
        <f t="shared" si="113"/>
        <v>0</v>
      </c>
      <c r="N293" s="170">
        <f t="shared" si="114"/>
        <v>0</v>
      </c>
      <c r="O293" s="216">
        <v>0</v>
      </c>
      <c r="P293" s="217">
        <v>0</v>
      </c>
      <c r="Q293" s="217">
        <v>0</v>
      </c>
      <c r="R293" s="217">
        <v>0</v>
      </c>
      <c r="S293" s="217">
        <v>0</v>
      </c>
      <c r="T293" s="217">
        <v>0</v>
      </c>
      <c r="U293" s="217">
        <v>0</v>
      </c>
      <c r="V293" s="217">
        <v>0</v>
      </c>
      <c r="W293" s="217">
        <v>0</v>
      </c>
      <c r="X293" s="217">
        <v>0</v>
      </c>
      <c r="Y293" s="252">
        <v>0</v>
      </c>
      <c r="Z293" s="168">
        <f t="shared" si="115"/>
        <v>0</v>
      </c>
      <c r="AA293" s="170">
        <f t="shared" si="116"/>
        <v>0</v>
      </c>
      <c r="AB293" s="795">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796">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069">
        <f t="shared" si="117"/>
        <v>0</v>
      </c>
      <c r="AE293" s="1073">
        <f t="shared" si="110"/>
        <v>0</v>
      </c>
      <c r="AF293" s="1074">
        <f t="shared" si="111"/>
        <v>0</v>
      </c>
      <c r="AG293" s="1074">
        <f t="shared" si="112"/>
        <v>0</v>
      </c>
      <c r="AH293" s="1015">
        <f t="shared" si="118"/>
        <v>0</v>
      </c>
      <c r="AI293" s="1075">
        <f t="shared" si="119"/>
        <v>0</v>
      </c>
    </row>
    <row r="294" spans="1:35" ht="13.5" thickBot="1" x14ac:dyDescent="0.25">
      <c r="A294" s="200">
        <v>2015</v>
      </c>
      <c r="B294" s="218">
        <v>0</v>
      </c>
      <c r="C294" s="219">
        <v>0</v>
      </c>
      <c r="D294" s="219">
        <v>0</v>
      </c>
      <c r="E294" s="219">
        <v>0</v>
      </c>
      <c r="F294" s="219">
        <v>0</v>
      </c>
      <c r="G294" s="219">
        <v>0</v>
      </c>
      <c r="H294" s="219">
        <v>0</v>
      </c>
      <c r="I294" s="219">
        <v>0</v>
      </c>
      <c r="J294" s="219">
        <v>0</v>
      </c>
      <c r="K294" s="219">
        <v>0</v>
      </c>
      <c r="L294" s="253">
        <v>0</v>
      </c>
      <c r="M294" s="182">
        <f t="shared" si="113"/>
        <v>0</v>
      </c>
      <c r="N294" s="184">
        <f t="shared" si="114"/>
        <v>0</v>
      </c>
      <c r="O294" s="218">
        <v>0</v>
      </c>
      <c r="P294" s="219">
        <v>0</v>
      </c>
      <c r="Q294" s="219">
        <v>0</v>
      </c>
      <c r="R294" s="219">
        <v>0</v>
      </c>
      <c r="S294" s="219">
        <v>0</v>
      </c>
      <c r="T294" s="219">
        <v>0</v>
      </c>
      <c r="U294" s="219">
        <v>0</v>
      </c>
      <c r="V294" s="219">
        <v>0</v>
      </c>
      <c r="W294" s="219">
        <v>0</v>
      </c>
      <c r="X294" s="219">
        <v>0</v>
      </c>
      <c r="Y294" s="253">
        <v>0</v>
      </c>
      <c r="Z294" s="182">
        <f t="shared" si="115"/>
        <v>0</v>
      </c>
      <c r="AA294" s="184">
        <f t="shared" si="116"/>
        <v>0</v>
      </c>
      <c r="AB294" s="795">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796">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069">
        <f t="shared" si="117"/>
        <v>0</v>
      </c>
      <c r="AE294" s="1073">
        <f t="shared" si="110"/>
        <v>0</v>
      </c>
      <c r="AF294" s="1074">
        <f t="shared" si="111"/>
        <v>0</v>
      </c>
      <c r="AG294" s="1074">
        <f t="shared" si="112"/>
        <v>0</v>
      </c>
      <c r="AH294" s="1015">
        <f t="shared" si="118"/>
        <v>0</v>
      </c>
      <c r="AI294" s="1075">
        <f t="shared" si="119"/>
        <v>0</v>
      </c>
    </row>
    <row r="295" spans="1:35" x14ac:dyDescent="0.2">
      <c r="A295" s="201">
        <v>2016</v>
      </c>
      <c r="B295" s="214">
        <v>0</v>
      </c>
      <c r="C295" s="215">
        <v>0</v>
      </c>
      <c r="D295" s="215">
        <v>0</v>
      </c>
      <c r="E295" s="215">
        <v>0</v>
      </c>
      <c r="F295" s="215">
        <v>0</v>
      </c>
      <c r="G295" s="215">
        <v>0</v>
      </c>
      <c r="H295" s="215">
        <v>0</v>
      </c>
      <c r="I295" s="215">
        <v>0</v>
      </c>
      <c r="J295" s="215">
        <v>0</v>
      </c>
      <c r="K295" s="215">
        <v>0</v>
      </c>
      <c r="L295" s="251">
        <v>0</v>
      </c>
      <c r="M295" s="154">
        <f t="shared" si="113"/>
        <v>0</v>
      </c>
      <c r="N295" s="156">
        <f t="shared" si="114"/>
        <v>0</v>
      </c>
      <c r="O295" s="214">
        <v>0</v>
      </c>
      <c r="P295" s="215">
        <v>0</v>
      </c>
      <c r="Q295" s="215">
        <v>0</v>
      </c>
      <c r="R295" s="215">
        <v>0</v>
      </c>
      <c r="S295" s="215">
        <v>0</v>
      </c>
      <c r="T295" s="215">
        <v>0</v>
      </c>
      <c r="U295" s="215">
        <v>0</v>
      </c>
      <c r="V295" s="215">
        <v>0</v>
      </c>
      <c r="W295" s="215">
        <v>0</v>
      </c>
      <c r="X295" s="215">
        <v>0</v>
      </c>
      <c r="Y295" s="251">
        <v>0</v>
      </c>
      <c r="Z295" s="154">
        <f t="shared" si="115"/>
        <v>0</v>
      </c>
      <c r="AA295" s="156">
        <f t="shared" si="116"/>
        <v>0</v>
      </c>
      <c r="AB295" s="795">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796">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069">
        <f t="shared" si="117"/>
        <v>0</v>
      </c>
      <c r="AE295" s="1073">
        <f t="shared" si="110"/>
        <v>0</v>
      </c>
      <c r="AF295" s="1074">
        <f t="shared" si="111"/>
        <v>0</v>
      </c>
      <c r="AG295" s="1074">
        <f t="shared" si="112"/>
        <v>0</v>
      </c>
      <c r="AH295" s="1015">
        <f t="shared" si="118"/>
        <v>0</v>
      </c>
      <c r="AI295" s="1075">
        <f t="shared" si="119"/>
        <v>0</v>
      </c>
    </row>
    <row r="296" spans="1:35" x14ac:dyDescent="0.2">
      <c r="A296" s="202">
        <v>2017</v>
      </c>
      <c r="B296" s="216">
        <v>0</v>
      </c>
      <c r="C296" s="217">
        <v>0</v>
      </c>
      <c r="D296" s="217">
        <v>0</v>
      </c>
      <c r="E296" s="217">
        <v>0</v>
      </c>
      <c r="F296" s="217">
        <v>0</v>
      </c>
      <c r="G296" s="217">
        <v>0</v>
      </c>
      <c r="H296" s="217">
        <v>0</v>
      </c>
      <c r="I296" s="217">
        <v>0</v>
      </c>
      <c r="J296" s="217">
        <v>0</v>
      </c>
      <c r="K296" s="217">
        <v>0</v>
      </c>
      <c r="L296" s="252">
        <v>0</v>
      </c>
      <c r="M296" s="168">
        <f t="shared" si="113"/>
        <v>0</v>
      </c>
      <c r="N296" s="170">
        <f t="shared" si="114"/>
        <v>0</v>
      </c>
      <c r="O296" s="216">
        <v>0</v>
      </c>
      <c r="P296" s="217">
        <v>0</v>
      </c>
      <c r="Q296" s="217">
        <v>0</v>
      </c>
      <c r="R296" s="217">
        <v>0</v>
      </c>
      <c r="S296" s="217">
        <v>0</v>
      </c>
      <c r="T296" s="217">
        <v>0</v>
      </c>
      <c r="U296" s="217">
        <v>0</v>
      </c>
      <c r="V296" s="217">
        <v>0</v>
      </c>
      <c r="W296" s="217">
        <v>0</v>
      </c>
      <c r="X296" s="217">
        <v>0</v>
      </c>
      <c r="Y296" s="252">
        <v>0</v>
      </c>
      <c r="Z296" s="168">
        <f t="shared" si="115"/>
        <v>0</v>
      </c>
      <c r="AA296" s="170">
        <f t="shared" si="116"/>
        <v>0</v>
      </c>
      <c r="AB296" s="795">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796">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069">
        <f t="shared" si="117"/>
        <v>0</v>
      </c>
      <c r="AE296" s="1073">
        <f t="shared" si="110"/>
        <v>0</v>
      </c>
      <c r="AF296" s="1074">
        <f t="shared" si="111"/>
        <v>0</v>
      </c>
      <c r="AG296" s="1074">
        <f t="shared" si="112"/>
        <v>0</v>
      </c>
      <c r="AH296" s="1015">
        <f t="shared" si="118"/>
        <v>0</v>
      </c>
      <c r="AI296" s="1075">
        <f t="shared" si="119"/>
        <v>0</v>
      </c>
    </row>
    <row r="297" spans="1:35" x14ac:dyDescent="0.2">
      <c r="A297" s="202">
        <v>2018</v>
      </c>
      <c r="B297" s="216">
        <v>0</v>
      </c>
      <c r="C297" s="217">
        <v>0</v>
      </c>
      <c r="D297" s="217">
        <v>0</v>
      </c>
      <c r="E297" s="217">
        <v>0</v>
      </c>
      <c r="F297" s="217">
        <v>0</v>
      </c>
      <c r="G297" s="217">
        <v>0</v>
      </c>
      <c r="H297" s="217">
        <v>0</v>
      </c>
      <c r="I297" s="217">
        <v>0</v>
      </c>
      <c r="J297" s="217">
        <v>0</v>
      </c>
      <c r="K297" s="217">
        <v>0</v>
      </c>
      <c r="L297" s="252">
        <v>0</v>
      </c>
      <c r="M297" s="168">
        <f t="shared" si="113"/>
        <v>0</v>
      </c>
      <c r="N297" s="170">
        <f t="shared" si="114"/>
        <v>0</v>
      </c>
      <c r="O297" s="216">
        <v>0</v>
      </c>
      <c r="P297" s="217">
        <v>0</v>
      </c>
      <c r="Q297" s="217">
        <v>0</v>
      </c>
      <c r="R297" s="217">
        <v>0</v>
      </c>
      <c r="S297" s="217">
        <v>0</v>
      </c>
      <c r="T297" s="217">
        <v>0</v>
      </c>
      <c r="U297" s="217">
        <v>0</v>
      </c>
      <c r="V297" s="217">
        <v>0</v>
      </c>
      <c r="W297" s="217">
        <v>0</v>
      </c>
      <c r="X297" s="217">
        <v>0</v>
      </c>
      <c r="Y297" s="252">
        <v>0</v>
      </c>
      <c r="Z297" s="168">
        <f t="shared" si="115"/>
        <v>0</v>
      </c>
      <c r="AA297" s="170">
        <f t="shared" si="116"/>
        <v>0</v>
      </c>
      <c r="AB297" s="795">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796">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069">
        <f t="shared" si="117"/>
        <v>0</v>
      </c>
      <c r="AE297" s="1073">
        <f t="shared" si="110"/>
        <v>0</v>
      </c>
      <c r="AF297" s="1074">
        <f t="shared" si="111"/>
        <v>0</v>
      </c>
      <c r="AG297" s="1074">
        <f t="shared" si="112"/>
        <v>0</v>
      </c>
      <c r="AH297" s="1015">
        <f t="shared" si="118"/>
        <v>0</v>
      </c>
      <c r="AI297" s="1075">
        <f t="shared" si="119"/>
        <v>0</v>
      </c>
    </row>
    <row r="298" spans="1:35" x14ac:dyDescent="0.2">
      <c r="A298" s="202">
        <v>2019</v>
      </c>
      <c r="B298" s="216">
        <v>0</v>
      </c>
      <c r="C298" s="217">
        <v>0</v>
      </c>
      <c r="D298" s="217">
        <v>0</v>
      </c>
      <c r="E298" s="217">
        <v>0</v>
      </c>
      <c r="F298" s="217">
        <v>0</v>
      </c>
      <c r="G298" s="217">
        <v>0</v>
      </c>
      <c r="H298" s="217">
        <v>0</v>
      </c>
      <c r="I298" s="217">
        <v>0</v>
      </c>
      <c r="J298" s="217">
        <v>0</v>
      </c>
      <c r="K298" s="217">
        <v>0</v>
      </c>
      <c r="L298" s="252">
        <v>0</v>
      </c>
      <c r="M298" s="168">
        <f t="shared" si="113"/>
        <v>0</v>
      </c>
      <c r="N298" s="170">
        <f t="shared" si="114"/>
        <v>0</v>
      </c>
      <c r="O298" s="216">
        <v>0</v>
      </c>
      <c r="P298" s="217">
        <v>0</v>
      </c>
      <c r="Q298" s="217">
        <v>0</v>
      </c>
      <c r="R298" s="217">
        <v>0</v>
      </c>
      <c r="S298" s="217">
        <v>0</v>
      </c>
      <c r="T298" s="217">
        <v>0</v>
      </c>
      <c r="U298" s="217">
        <v>0</v>
      </c>
      <c r="V298" s="217">
        <v>0</v>
      </c>
      <c r="W298" s="217">
        <v>0</v>
      </c>
      <c r="X298" s="217">
        <v>0</v>
      </c>
      <c r="Y298" s="252">
        <v>0</v>
      </c>
      <c r="Z298" s="168">
        <f t="shared" si="115"/>
        <v>0</v>
      </c>
      <c r="AA298" s="170">
        <f t="shared" si="116"/>
        <v>0</v>
      </c>
      <c r="AB298" s="795">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796">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069">
        <f t="shared" si="117"/>
        <v>0</v>
      </c>
      <c r="AE298" s="1073">
        <f t="shared" si="110"/>
        <v>0</v>
      </c>
      <c r="AF298" s="1074">
        <f t="shared" si="111"/>
        <v>0</v>
      </c>
      <c r="AG298" s="1074">
        <f t="shared" si="112"/>
        <v>0</v>
      </c>
      <c r="AH298" s="1015">
        <f t="shared" si="118"/>
        <v>0</v>
      </c>
      <c r="AI298" s="1075">
        <f t="shared" si="119"/>
        <v>0</v>
      </c>
    </row>
    <row r="299" spans="1:35" ht="13.5" thickBot="1" x14ac:dyDescent="0.25">
      <c r="A299" s="200">
        <v>2020</v>
      </c>
      <c r="B299" s="218">
        <v>0</v>
      </c>
      <c r="C299" s="219">
        <v>0</v>
      </c>
      <c r="D299" s="219">
        <v>0</v>
      </c>
      <c r="E299" s="219">
        <v>0</v>
      </c>
      <c r="F299" s="219">
        <v>0</v>
      </c>
      <c r="G299" s="219">
        <v>0</v>
      </c>
      <c r="H299" s="219">
        <v>0</v>
      </c>
      <c r="I299" s="219">
        <v>0</v>
      </c>
      <c r="J299" s="219">
        <v>0</v>
      </c>
      <c r="K299" s="219">
        <v>0</v>
      </c>
      <c r="L299" s="253">
        <v>0</v>
      </c>
      <c r="M299" s="182">
        <f t="shared" si="113"/>
        <v>0</v>
      </c>
      <c r="N299" s="184">
        <f t="shared" si="114"/>
        <v>0</v>
      </c>
      <c r="O299" s="218">
        <v>0</v>
      </c>
      <c r="P299" s="219">
        <v>0</v>
      </c>
      <c r="Q299" s="219">
        <v>0</v>
      </c>
      <c r="R299" s="219">
        <v>0</v>
      </c>
      <c r="S299" s="219">
        <v>0</v>
      </c>
      <c r="T299" s="219">
        <v>0</v>
      </c>
      <c r="U299" s="219">
        <v>0</v>
      </c>
      <c r="V299" s="219">
        <v>0</v>
      </c>
      <c r="W299" s="219">
        <v>0</v>
      </c>
      <c r="X299" s="219">
        <v>0</v>
      </c>
      <c r="Y299" s="253">
        <v>0</v>
      </c>
      <c r="Z299" s="182">
        <f t="shared" si="115"/>
        <v>0</v>
      </c>
      <c r="AA299" s="184">
        <f t="shared" si="116"/>
        <v>0</v>
      </c>
      <c r="AB299" s="795">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796">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069">
        <f t="shared" si="117"/>
        <v>0</v>
      </c>
      <c r="AE299" s="1073">
        <f t="shared" si="110"/>
        <v>0</v>
      </c>
      <c r="AF299" s="1074">
        <f t="shared" si="111"/>
        <v>0</v>
      </c>
      <c r="AG299" s="1074">
        <f t="shared" si="112"/>
        <v>0</v>
      </c>
      <c r="AH299" s="1015">
        <f t="shared" si="118"/>
        <v>0</v>
      </c>
      <c r="AI299" s="1075">
        <f t="shared" si="119"/>
        <v>0</v>
      </c>
    </row>
    <row r="300" spans="1:35" x14ac:dyDescent="0.2">
      <c r="A300" s="201">
        <v>2021</v>
      </c>
      <c r="B300" s="214">
        <v>0</v>
      </c>
      <c r="C300" s="215">
        <v>0</v>
      </c>
      <c r="D300" s="215">
        <v>0</v>
      </c>
      <c r="E300" s="215">
        <v>0</v>
      </c>
      <c r="F300" s="215">
        <v>0</v>
      </c>
      <c r="G300" s="215">
        <v>0</v>
      </c>
      <c r="H300" s="215">
        <v>0</v>
      </c>
      <c r="I300" s="215">
        <v>0</v>
      </c>
      <c r="J300" s="215">
        <v>0</v>
      </c>
      <c r="K300" s="215">
        <v>0</v>
      </c>
      <c r="L300" s="251">
        <v>0</v>
      </c>
      <c r="M300" s="154">
        <f t="shared" si="113"/>
        <v>0</v>
      </c>
      <c r="N300" s="156">
        <f t="shared" si="114"/>
        <v>0</v>
      </c>
      <c r="O300" s="214">
        <v>0</v>
      </c>
      <c r="P300" s="215">
        <v>0</v>
      </c>
      <c r="Q300" s="215">
        <v>0</v>
      </c>
      <c r="R300" s="215">
        <v>0</v>
      </c>
      <c r="S300" s="215">
        <v>0</v>
      </c>
      <c r="T300" s="215">
        <v>0</v>
      </c>
      <c r="U300" s="215">
        <v>0</v>
      </c>
      <c r="V300" s="215">
        <v>0</v>
      </c>
      <c r="W300" s="215">
        <v>0</v>
      </c>
      <c r="X300" s="215">
        <v>0</v>
      </c>
      <c r="Y300" s="251">
        <v>0</v>
      </c>
      <c r="Z300" s="154">
        <f t="shared" si="115"/>
        <v>0</v>
      </c>
      <c r="AA300" s="156">
        <f t="shared" si="116"/>
        <v>0</v>
      </c>
      <c r="AB300" s="795">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796">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069">
        <f t="shared" si="117"/>
        <v>0</v>
      </c>
      <c r="AE300" s="1073">
        <f t="shared" si="110"/>
        <v>0</v>
      </c>
      <c r="AF300" s="1074">
        <f t="shared" si="111"/>
        <v>0</v>
      </c>
      <c r="AG300" s="1074">
        <f t="shared" si="112"/>
        <v>0</v>
      </c>
      <c r="AH300" s="1015">
        <f t="shared" si="118"/>
        <v>0</v>
      </c>
      <c r="AI300" s="1075">
        <f t="shared" si="119"/>
        <v>0</v>
      </c>
    </row>
    <row r="301" spans="1:35" x14ac:dyDescent="0.2">
      <c r="A301" s="202">
        <v>2022</v>
      </c>
      <c r="B301" s="216">
        <v>0</v>
      </c>
      <c r="C301" s="217">
        <v>0</v>
      </c>
      <c r="D301" s="217">
        <v>0</v>
      </c>
      <c r="E301" s="217">
        <v>0</v>
      </c>
      <c r="F301" s="217">
        <v>0</v>
      </c>
      <c r="G301" s="217">
        <v>0</v>
      </c>
      <c r="H301" s="217">
        <v>0</v>
      </c>
      <c r="I301" s="217">
        <v>0</v>
      </c>
      <c r="J301" s="217">
        <v>0</v>
      </c>
      <c r="K301" s="217">
        <v>0</v>
      </c>
      <c r="L301" s="252">
        <v>0</v>
      </c>
      <c r="M301" s="168">
        <f t="shared" si="113"/>
        <v>0</v>
      </c>
      <c r="N301" s="170">
        <f t="shared" si="114"/>
        <v>0</v>
      </c>
      <c r="O301" s="216">
        <v>0</v>
      </c>
      <c r="P301" s="217">
        <v>0</v>
      </c>
      <c r="Q301" s="217">
        <v>0</v>
      </c>
      <c r="R301" s="217">
        <v>0</v>
      </c>
      <c r="S301" s="217">
        <v>0</v>
      </c>
      <c r="T301" s="217">
        <v>0</v>
      </c>
      <c r="U301" s="217">
        <v>0</v>
      </c>
      <c r="V301" s="217">
        <v>0</v>
      </c>
      <c r="W301" s="217">
        <v>0</v>
      </c>
      <c r="X301" s="217">
        <v>0</v>
      </c>
      <c r="Y301" s="252">
        <v>0</v>
      </c>
      <c r="Z301" s="168">
        <f t="shared" si="115"/>
        <v>0</v>
      </c>
      <c r="AA301" s="170">
        <f t="shared" si="116"/>
        <v>0</v>
      </c>
      <c r="AB301" s="795">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796">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069">
        <f t="shared" si="117"/>
        <v>0</v>
      </c>
      <c r="AE301" s="1073">
        <f>SUMPRODUCT($B$74:$L$74,B301:L301)</f>
        <v>0</v>
      </c>
      <c r="AF301" s="1074">
        <f>SUMPRODUCT($O$74:$Y$74,O301:Y301)</f>
        <v>0</v>
      </c>
      <c r="AG301" s="1074">
        <f>SUM(AE301:AF301)</f>
        <v>0</v>
      </c>
      <c r="AH301" s="1015">
        <f t="shared" si="118"/>
        <v>0</v>
      </c>
      <c r="AI301" s="1075">
        <f t="shared" si="119"/>
        <v>0</v>
      </c>
    </row>
    <row r="302" spans="1:35" x14ac:dyDescent="0.2">
      <c r="A302" s="202">
        <v>2023</v>
      </c>
      <c r="B302" s="216">
        <v>0</v>
      </c>
      <c r="C302" s="217">
        <v>0</v>
      </c>
      <c r="D302" s="217">
        <v>0</v>
      </c>
      <c r="E302" s="217">
        <v>0</v>
      </c>
      <c r="F302" s="217">
        <v>0</v>
      </c>
      <c r="G302" s="217">
        <v>0</v>
      </c>
      <c r="H302" s="217">
        <v>0</v>
      </c>
      <c r="I302" s="217">
        <v>0</v>
      </c>
      <c r="J302" s="217">
        <v>0</v>
      </c>
      <c r="K302" s="217">
        <v>0</v>
      </c>
      <c r="L302" s="252">
        <v>0</v>
      </c>
      <c r="M302" s="168">
        <f t="shared" si="113"/>
        <v>0</v>
      </c>
      <c r="N302" s="170">
        <f t="shared" si="114"/>
        <v>0</v>
      </c>
      <c r="O302" s="216">
        <v>0</v>
      </c>
      <c r="P302" s="217">
        <v>0</v>
      </c>
      <c r="Q302" s="217">
        <v>0</v>
      </c>
      <c r="R302" s="217">
        <v>0</v>
      </c>
      <c r="S302" s="217">
        <v>0</v>
      </c>
      <c r="T302" s="217">
        <v>0</v>
      </c>
      <c r="U302" s="217">
        <v>0</v>
      </c>
      <c r="V302" s="217">
        <v>0</v>
      </c>
      <c r="W302" s="217">
        <v>0</v>
      </c>
      <c r="X302" s="217">
        <v>0</v>
      </c>
      <c r="Y302" s="252">
        <v>0</v>
      </c>
      <c r="Z302" s="168">
        <f t="shared" si="115"/>
        <v>0</v>
      </c>
      <c r="AA302" s="170">
        <f t="shared" si="116"/>
        <v>0</v>
      </c>
      <c r="AB302" s="795">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796">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069">
        <f t="shared" si="117"/>
        <v>0</v>
      </c>
      <c r="AE302" s="1073">
        <f t="shared" ref="AE302:AE329" si="120">SUMPRODUCT($B$74:$L$74,B302:L302)</f>
        <v>0</v>
      </c>
      <c r="AF302" s="1074">
        <f t="shared" ref="AF302:AF329" si="121">SUMPRODUCT($O$74:$Y$74,O302:Y302)</f>
        <v>0</v>
      </c>
      <c r="AG302" s="1074">
        <f t="shared" ref="AG302:AG329" si="122">SUM(AE302:AF302)</f>
        <v>0</v>
      </c>
      <c r="AH302" s="1015">
        <f t="shared" si="118"/>
        <v>0</v>
      </c>
      <c r="AI302" s="1075">
        <f t="shared" si="119"/>
        <v>0</v>
      </c>
    </row>
    <row r="303" spans="1:35" x14ac:dyDescent="0.2">
      <c r="A303" s="202">
        <v>2024</v>
      </c>
      <c r="B303" s="216">
        <v>0</v>
      </c>
      <c r="C303" s="217">
        <v>0</v>
      </c>
      <c r="D303" s="217">
        <v>0</v>
      </c>
      <c r="E303" s="217">
        <v>0</v>
      </c>
      <c r="F303" s="217">
        <v>0</v>
      </c>
      <c r="G303" s="217">
        <v>0</v>
      </c>
      <c r="H303" s="217">
        <v>0</v>
      </c>
      <c r="I303" s="217">
        <v>0</v>
      </c>
      <c r="J303" s="217">
        <v>0</v>
      </c>
      <c r="K303" s="217">
        <v>0</v>
      </c>
      <c r="L303" s="252">
        <v>0</v>
      </c>
      <c r="M303" s="168">
        <f t="shared" si="113"/>
        <v>0</v>
      </c>
      <c r="N303" s="170">
        <f t="shared" si="114"/>
        <v>0</v>
      </c>
      <c r="O303" s="216">
        <v>0</v>
      </c>
      <c r="P303" s="217">
        <v>0</v>
      </c>
      <c r="Q303" s="217">
        <v>0</v>
      </c>
      <c r="R303" s="217">
        <v>0</v>
      </c>
      <c r="S303" s="217">
        <v>0</v>
      </c>
      <c r="T303" s="217">
        <v>0</v>
      </c>
      <c r="U303" s="217">
        <v>0</v>
      </c>
      <c r="V303" s="217">
        <v>0</v>
      </c>
      <c r="W303" s="217">
        <v>0</v>
      </c>
      <c r="X303" s="217">
        <v>0</v>
      </c>
      <c r="Y303" s="252">
        <v>0</v>
      </c>
      <c r="Z303" s="168">
        <f t="shared" si="115"/>
        <v>0</v>
      </c>
      <c r="AA303" s="170">
        <f t="shared" si="116"/>
        <v>0</v>
      </c>
      <c r="AB303" s="795">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796">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069">
        <f t="shared" si="117"/>
        <v>0</v>
      </c>
      <c r="AE303" s="1073">
        <f t="shared" si="120"/>
        <v>0</v>
      </c>
      <c r="AF303" s="1074">
        <f t="shared" si="121"/>
        <v>0</v>
      </c>
      <c r="AG303" s="1074">
        <f t="shared" si="122"/>
        <v>0</v>
      </c>
      <c r="AH303" s="1015">
        <f t="shared" si="118"/>
        <v>0</v>
      </c>
      <c r="AI303" s="1075">
        <f t="shared" si="119"/>
        <v>0</v>
      </c>
    </row>
    <row r="304" spans="1:35" ht="13.5" thickBot="1" x14ac:dyDescent="0.25">
      <c r="A304" s="200">
        <v>2025</v>
      </c>
      <c r="B304" s="218">
        <v>0</v>
      </c>
      <c r="C304" s="219">
        <v>0</v>
      </c>
      <c r="D304" s="219">
        <v>0</v>
      </c>
      <c r="E304" s="219">
        <v>0</v>
      </c>
      <c r="F304" s="219">
        <v>0</v>
      </c>
      <c r="G304" s="219">
        <v>0</v>
      </c>
      <c r="H304" s="219">
        <v>0</v>
      </c>
      <c r="I304" s="219">
        <v>0</v>
      </c>
      <c r="J304" s="219">
        <v>0</v>
      </c>
      <c r="K304" s="219">
        <v>0</v>
      </c>
      <c r="L304" s="253">
        <v>0</v>
      </c>
      <c r="M304" s="182">
        <f t="shared" si="113"/>
        <v>0</v>
      </c>
      <c r="N304" s="184">
        <f t="shared" si="114"/>
        <v>0</v>
      </c>
      <c r="O304" s="218">
        <v>0</v>
      </c>
      <c r="P304" s="219">
        <v>0</v>
      </c>
      <c r="Q304" s="219">
        <v>0</v>
      </c>
      <c r="R304" s="219">
        <v>0</v>
      </c>
      <c r="S304" s="219">
        <v>0</v>
      </c>
      <c r="T304" s="219">
        <v>0</v>
      </c>
      <c r="U304" s="219">
        <v>0</v>
      </c>
      <c r="V304" s="219">
        <v>0</v>
      </c>
      <c r="W304" s="219">
        <v>0</v>
      </c>
      <c r="X304" s="219">
        <v>0</v>
      </c>
      <c r="Y304" s="253">
        <v>0</v>
      </c>
      <c r="Z304" s="182">
        <f t="shared" si="115"/>
        <v>0</v>
      </c>
      <c r="AA304" s="184">
        <f t="shared" si="116"/>
        <v>0</v>
      </c>
      <c r="AB304" s="795">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796">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069">
        <f t="shared" si="117"/>
        <v>0</v>
      </c>
      <c r="AE304" s="1073">
        <f t="shared" si="120"/>
        <v>0</v>
      </c>
      <c r="AF304" s="1074">
        <f t="shared" si="121"/>
        <v>0</v>
      </c>
      <c r="AG304" s="1074">
        <f t="shared" si="122"/>
        <v>0</v>
      </c>
      <c r="AH304" s="1015">
        <f t="shared" si="118"/>
        <v>0</v>
      </c>
      <c r="AI304" s="1075">
        <f t="shared" si="119"/>
        <v>0</v>
      </c>
    </row>
    <row r="305" spans="1:35" x14ac:dyDescent="0.2">
      <c r="A305" s="201">
        <v>2026</v>
      </c>
      <c r="B305" s="214">
        <v>0</v>
      </c>
      <c r="C305" s="215">
        <v>0</v>
      </c>
      <c r="D305" s="215">
        <v>0</v>
      </c>
      <c r="E305" s="215">
        <v>0</v>
      </c>
      <c r="F305" s="215">
        <v>0</v>
      </c>
      <c r="G305" s="215">
        <v>0</v>
      </c>
      <c r="H305" s="215">
        <v>0</v>
      </c>
      <c r="I305" s="215">
        <v>2.296123383562365E-7</v>
      </c>
      <c r="J305" s="215">
        <v>2.0318256014449335E-6</v>
      </c>
      <c r="K305" s="215">
        <v>1.1090179387188528E-5</v>
      </c>
      <c r="L305" s="251">
        <v>1.1090179387188528E-5</v>
      </c>
      <c r="M305" s="154">
        <f t="shared" si="113"/>
        <v>4.1147979121016122E-8</v>
      </c>
      <c r="N305" s="156">
        <f t="shared" si="114"/>
        <v>5.6086797185688345E-9</v>
      </c>
      <c r="O305" s="214">
        <v>0</v>
      </c>
      <c r="P305" s="215">
        <v>0</v>
      </c>
      <c r="Q305" s="215">
        <v>0</v>
      </c>
      <c r="R305" s="215">
        <v>0</v>
      </c>
      <c r="S305" s="215">
        <v>0</v>
      </c>
      <c r="T305" s="215">
        <v>0</v>
      </c>
      <c r="U305" s="215">
        <v>0</v>
      </c>
      <c r="V305" s="215">
        <v>9.1658819884184985E-7</v>
      </c>
      <c r="W305" s="215">
        <v>5.6804714817403986E-6</v>
      </c>
      <c r="X305" s="215">
        <v>1.2595448574344889E-5</v>
      </c>
      <c r="Y305" s="251">
        <v>3.9782265576945024E-5</v>
      </c>
      <c r="Z305" s="154">
        <f t="shared" si="115"/>
        <v>7.3343956620812758E-8</v>
      </c>
      <c r="AA305" s="156">
        <f t="shared" si="116"/>
        <v>1.0610008357567062E-8</v>
      </c>
      <c r="AB305" s="795">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0.15537281608676787</v>
      </c>
      <c r="AC305" s="796">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0.16489758635026297</v>
      </c>
      <c r="AD305" s="1069">
        <f t="shared" si="117"/>
        <v>0.16147441907306245</v>
      </c>
      <c r="AE305" s="1073">
        <f t="shared" si="120"/>
        <v>4.1147979121016122E-8</v>
      </c>
      <c r="AF305" s="1074">
        <f t="shared" si="121"/>
        <v>7.3343956620812758E-8</v>
      </c>
      <c r="AG305" s="1074">
        <f t="shared" si="122"/>
        <v>1.1449193574182888E-7</v>
      </c>
      <c r="AH305" s="1015">
        <f t="shared" si="118"/>
        <v>0.35939630904487341</v>
      </c>
      <c r="AI305" s="1075">
        <f t="shared" si="119"/>
        <v>0.64060369095512659</v>
      </c>
    </row>
    <row r="306" spans="1:35" x14ac:dyDescent="0.2">
      <c r="A306" s="202">
        <v>2027</v>
      </c>
      <c r="B306" s="216">
        <v>0</v>
      </c>
      <c r="C306" s="217">
        <v>0</v>
      </c>
      <c r="D306" s="217">
        <v>0</v>
      </c>
      <c r="E306" s="217">
        <v>0</v>
      </c>
      <c r="F306" s="217">
        <v>0</v>
      </c>
      <c r="G306" s="217">
        <v>0</v>
      </c>
      <c r="H306" s="217">
        <v>1.3420907753721394E-6</v>
      </c>
      <c r="I306" s="217">
        <v>1.0260632114267254E-5</v>
      </c>
      <c r="J306" s="217">
        <v>4.9523061963350974E-5</v>
      </c>
      <c r="K306" s="217">
        <v>1.8435536703810274E-4</v>
      </c>
      <c r="L306" s="252">
        <v>1.8435536703810274E-4</v>
      </c>
      <c r="M306" s="168">
        <f t="shared" si="113"/>
        <v>7.0387490795334477E-7</v>
      </c>
      <c r="N306" s="170">
        <f t="shared" si="114"/>
        <v>9.7242738734266877E-8</v>
      </c>
      <c r="O306" s="216">
        <v>0</v>
      </c>
      <c r="P306" s="217">
        <v>0</v>
      </c>
      <c r="Q306" s="217">
        <v>0</v>
      </c>
      <c r="R306" s="217">
        <v>0</v>
      </c>
      <c r="S306" s="217">
        <v>0</v>
      </c>
      <c r="T306" s="217">
        <v>0</v>
      </c>
      <c r="U306" s="217">
        <v>2.3281569067931741E-6</v>
      </c>
      <c r="V306" s="217">
        <v>2.9120125336548075E-5</v>
      </c>
      <c r="W306" s="217">
        <v>1.1919769477988182E-4</v>
      </c>
      <c r="X306" s="217">
        <v>2.0657491220686728E-4</v>
      </c>
      <c r="Y306" s="252">
        <v>4.4561083377886858E-4</v>
      </c>
      <c r="Z306" s="168">
        <f t="shared" si="115"/>
        <v>1.440355502005011E-6</v>
      </c>
      <c r="AA306" s="170">
        <f t="shared" si="116"/>
        <v>2.2698679941761319E-7</v>
      </c>
      <c r="AB306" s="795">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0.15592397828868504</v>
      </c>
      <c r="AC306" s="796">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0.17786156692740274</v>
      </c>
      <c r="AD306" s="1069">
        <f t="shared" si="117"/>
        <v>0.17066023347364592</v>
      </c>
      <c r="AE306" s="1073">
        <f t="shared" si="120"/>
        <v>7.0387490795334477E-7</v>
      </c>
      <c r="AF306" s="1074">
        <f t="shared" si="121"/>
        <v>1.440355502005011E-6</v>
      </c>
      <c r="AG306" s="1074">
        <f t="shared" si="122"/>
        <v>2.1442304099583558E-6</v>
      </c>
      <c r="AH306" s="1015">
        <f t="shared" si="118"/>
        <v>0.32826458606517717</v>
      </c>
      <c r="AI306" s="1075">
        <f t="shared" si="119"/>
        <v>0.67173541393482283</v>
      </c>
    </row>
    <row r="307" spans="1:35" x14ac:dyDescent="0.2">
      <c r="A307" s="202">
        <v>2028</v>
      </c>
      <c r="B307" s="216">
        <v>0</v>
      </c>
      <c r="C307" s="217">
        <v>0</v>
      </c>
      <c r="D307" s="217">
        <v>0</v>
      </c>
      <c r="E307" s="217">
        <v>0</v>
      </c>
      <c r="F307" s="217">
        <v>0</v>
      </c>
      <c r="G307" s="217">
        <v>0</v>
      </c>
      <c r="H307" s="217">
        <v>2.3136672694870524E-5</v>
      </c>
      <c r="I307" s="217">
        <v>9.2624304735753734E-5</v>
      </c>
      <c r="J307" s="217">
        <v>3.5441224944754245E-4</v>
      </c>
      <c r="K307" s="217">
        <v>9.8999585410038116E-4</v>
      </c>
      <c r="L307" s="252">
        <v>9.8999585410038116E-4</v>
      </c>
      <c r="M307" s="168">
        <f t="shared" si="113"/>
        <v>4.0155570633678113E-6</v>
      </c>
      <c r="N307" s="170">
        <f t="shared" si="114"/>
        <v>5.6976912654613366E-7</v>
      </c>
      <c r="O307" s="216">
        <v>0</v>
      </c>
      <c r="P307" s="217">
        <v>0</v>
      </c>
      <c r="Q307" s="217">
        <v>0</v>
      </c>
      <c r="R307" s="217">
        <v>0</v>
      </c>
      <c r="S307" s="217">
        <v>0</v>
      </c>
      <c r="T307" s="217">
        <v>0</v>
      </c>
      <c r="U307" s="217">
        <v>3.2009024481642399E-5</v>
      </c>
      <c r="V307" s="217">
        <v>2.1343444194004392E-4</v>
      </c>
      <c r="W307" s="217">
        <v>7.1559716884572961E-4</v>
      </c>
      <c r="X307" s="217">
        <v>1.0965060893876617E-3</v>
      </c>
      <c r="Y307" s="252">
        <v>2.1009453395642924E-3</v>
      </c>
      <c r="Z307" s="168">
        <f t="shared" si="115"/>
        <v>9.3071257607683449E-6</v>
      </c>
      <c r="AA307" s="170">
        <f t="shared" si="116"/>
        <v>1.5227650469614551E-6</v>
      </c>
      <c r="AB307" s="795">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0.16021314273089093</v>
      </c>
      <c r="AC307" s="796">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0.18474059833982578</v>
      </c>
      <c r="AD307" s="1069">
        <f t="shared" si="117"/>
        <v>0.17734783826912395</v>
      </c>
      <c r="AE307" s="1073">
        <f t="shared" si="120"/>
        <v>4.0155570633678113E-6</v>
      </c>
      <c r="AF307" s="1074">
        <f t="shared" si="121"/>
        <v>9.3071257607683449E-6</v>
      </c>
      <c r="AG307" s="1074">
        <f t="shared" si="122"/>
        <v>1.3322682824136157E-5</v>
      </c>
      <c r="AH307" s="1015">
        <f t="shared" si="118"/>
        <v>0.30140754053627933</v>
      </c>
      <c r="AI307" s="1075">
        <f t="shared" si="119"/>
        <v>0.69859245946372062</v>
      </c>
    </row>
    <row r="308" spans="1:35" x14ac:dyDescent="0.2">
      <c r="A308" s="202">
        <v>2029</v>
      </c>
      <c r="B308" s="216">
        <v>0</v>
      </c>
      <c r="C308" s="217">
        <v>0</v>
      </c>
      <c r="D308" s="217">
        <v>0</v>
      </c>
      <c r="E308" s="217">
        <v>0</v>
      </c>
      <c r="F308" s="217">
        <v>0</v>
      </c>
      <c r="G308" s="217">
        <v>0</v>
      </c>
      <c r="H308" s="217">
        <v>9.3845326471658864E-5</v>
      </c>
      <c r="I308" s="217">
        <v>3.485533792087642E-4</v>
      </c>
      <c r="J308" s="217">
        <v>1.2309733626780074E-3</v>
      </c>
      <c r="K308" s="217">
        <v>3.0949924659578552E-3</v>
      </c>
      <c r="L308" s="252">
        <v>3.0949924659578552E-3</v>
      </c>
      <c r="M308" s="168">
        <f t="shared" si="113"/>
        <v>1.2872062299373894E-5</v>
      </c>
      <c r="N308" s="170">
        <f t="shared" si="114"/>
        <v>1.8454994620900556E-6</v>
      </c>
      <c r="O308" s="216">
        <v>0</v>
      </c>
      <c r="P308" s="217">
        <v>0</v>
      </c>
      <c r="Q308" s="217">
        <v>0</v>
      </c>
      <c r="R308" s="217">
        <v>0</v>
      </c>
      <c r="S308" s="217">
        <v>0</v>
      </c>
      <c r="T308" s="217">
        <v>0</v>
      </c>
      <c r="U308" s="217">
        <v>1.2929279773871258E-4</v>
      </c>
      <c r="V308" s="217">
        <v>7.5952954397380231E-4</v>
      </c>
      <c r="W308" s="217">
        <v>2.1091306509187103E-3</v>
      </c>
      <c r="X308" s="217">
        <v>3.4841262056820883E-3</v>
      </c>
      <c r="Y308" s="252">
        <v>6.1965278313496986E-3</v>
      </c>
      <c r="Z308" s="168">
        <f t="shared" si="115"/>
        <v>3.0892915852736303E-5</v>
      </c>
      <c r="AA308" s="170">
        <f t="shared" si="116"/>
        <v>5.130444597567141E-6</v>
      </c>
      <c r="AB308" s="795">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0.16192817800068127</v>
      </c>
      <c r="AC308" s="796">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0.18756540537602981</v>
      </c>
      <c r="AD308" s="1069">
        <f t="shared" si="117"/>
        <v>0.18002503858293481</v>
      </c>
      <c r="AE308" s="1073">
        <f t="shared" si="120"/>
        <v>1.2872062299373894E-5</v>
      </c>
      <c r="AF308" s="1074">
        <f t="shared" si="121"/>
        <v>3.0892915852736303E-5</v>
      </c>
      <c r="AG308" s="1074">
        <f t="shared" si="122"/>
        <v>4.3764978152110195E-5</v>
      </c>
      <c r="AH308" s="1015">
        <f t="shared" si="118"/>
        <v>0.29411787330581013</v>
      </c>
      <c r="AI308" s="1075">
        <f t="shared" si="119"/>
        <v>0.70588212669418993</v>
      </c>
    </row>
    <row r="309" spans="1:35" ht="13.5" thickBot="1" x14ac:dyDescent="0.25">
      <c r="A309" s="200">
        <v>2030</v>
      </c>
      <c r="B309" s="218">
        <v>0</v>
      </c>
      <c r="C309" s="219">
        <v>0</v>
      </c>
      <c r="D309" s="219">
        <v>0</v>
      </c>
      <c r="E309" s="219">
        <v>0</v>
      </c>
      <c r="F309" s="219">
        <v>0</v>
      </c>
      <c r="G309" s="219">
        <v>0</v>
      </c>
      <c r="H309" s="219">
        <v>5.5820949997263778E-4</v>
      </c>
      <c r="I309" s="219">
        <v>1.9043468549906075E-3</v>
      </c>
      <c r="J309" s="219">
        <v>4.7550657853514065E-3</v>
      </c>
      <c r="K309" s="219">
        <v>1.0832577031347882E-2</v>
      </c>
      <c r="L309" s="253">
        <v>1.0832577031347882E-2</v>
      </c>
      <c r="M309" s="182">
        <f t="shared" si="113"/>
        <v>4.8452367874660824E-5</v>
      </c>
      <c r="N309" s="184">
        <f t="shared" si="114"/>
        <v>7.1454214085297869E-6</v>
      </c>
      <c r="O309" s="218">
        <v>0</v>
      </c>
      <c r="P309" s="219">
        <v>0</v>
      </c>
      <c r="Q309" s="219">
        <v>0</v>
      </c>
      <c r="R309" s="219">
        <v>0</v>
      </c>
      <c r="S309" s="219">
        <v>0</v>
      </c>
      <c r="T309" s="219">
        <v>3.3330091613469172E-5</v>
      </c>
      <c r="U309" s="219">
        <v>8.7185007948670169E-4</v>
      </c>
      <c r="V309" s="219">
        <v>3.4460419735080771E-3</v>
      </c>
      <c r="W309" s="219">
        <v>8.5903730914191744E-3</v>
      </c>
      <c r="X309" s="219">
        <v>1.0832577031347882E-2</v>
      </c>
      <c r="Y309" s="253">
        <v>1.763322734978132E-2</v>
      </c>
      <c r="Z309" s="182">
        <f t="shared" si="115"/>
        <v>1.33779500709705E-4</v>
      </c>
      <c r="AA309" s="184">
        <f t="shared" si="116"/>
        <v>2.296808536830402E-5</v>
      </c>
      <c r="AB309" s="795">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0.16661460271720796</v>
      </c>
      <c r="AC309" s="796">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0.19397039220898771</v>
      </c>
      <c r="AD309" s="1069">
        <f t="shared" si="117"/>
        <v>0.18669695103618944</v>
      </c>
      <c r="AE309" s="1073">
        <f t="shared" si="120"/>
        <v>4.8452367874660824E-5</v>
      </c>
      <c r="AF309" s="1074">
        <f t="shared" si="121"/>
        <v>1.33779500709705E-4</v>
      </c>
      <c r="AG309" s="1074">
        <f t="shared" si="122"/>
        <v>1.8223186858436582E-4</v>
      </c>
      <c r="AH309" s="1015">
        <f t="shared" si="118"/>
        <v>0.26588306562981534</v>
      </c>
      <c r="AI309" s="1075">
        <f t="shared" si="119"/>
        <v>0.73411693437018466</v>
      </c>
    </row>
    <row r="310" spans="1:35" x14ac:dyDescent="0.2">
      <c r="A310" s="201">
        <v>2031</v>
      </c>
      <c r="B310" s="214">
        <v>0</v>
      </c>
      <c r="C310" s="215">
        <v>0</v>
      </c>
      <c r="D310" s="215">
        <v>0</v>
      </c>
      <c r="E310" s="215">
        <v>0</v>
      </c>
      <c r="F310" s="215">
        <v>0</v>
      </c>
      <c r="G310" s="215">
        <v>0</v>
      </c>
      <c r="H310" s="215">
        <v>2.2353582455559603E-3</v>
      </c>
      <c r="I310" s="215">
        <v>5.2907466539068825E-3</v>
      </c>
      <c r="J310" s="215">
        <v>1.2203689407552483E-2</v>
      </c>
      <c r="K310" s="215">
        <v>2.3271900140326908E-2</v>
      </c>
      <c r="L310" s="251">
        <v>2.3271900140326908E-2</v>
      </c>
      <c r="M310" s="154">
        <f t="shared" si="113"/>
        <v>1.1942389746948676E-4</v>
      </c>
      <c r="N310" s="156">
        <f t="shared" si="114"/>
        <v>1.8444995039235796E-5</v>
      </c>
      <c r="O310" s="214">
        <v>0</v>
      </c>
      <c r="P310" s="215">
        <v>0</v>
      </c>
      <c r="Q310" s="215">
        <v>0</v>
      </c>
      <c r="R310" s="215">
        <v>0</v>
      </c>
      <c r="S310" s="215">
        <v>0</v>
      </c>
      <c r="T310" s="215">
        <v>1.9743727128324569E-4</v>
      </c>
      <c r="U310" s="215">
        <v>2.9380108576009993E-3</v>
      </c>
      <c r="V310" s="215">
        <v>9.2565169324974658E-3</v>
      </c>
      <c r="W310" s="215">
        <v>1.8916949041646355E-2</v>
      </c>
      <c r="X310" s="215">
        <v>2.3741486450430629E-2</v>
      </c>
      <c r="Y310" s="251">
        <v>3.4086133768883357E-2</v>
      </c>
      <c r="Z310" s="154">
        <f t="shared" si="115"/>
        <v>3.47571788591619E-4</v>
      </c>
      <c r="AA310" s="156">
        <f t="shared" si="116"/>
        <v>6.1064725345557404E-5</v>
      </c>
      <c r="AB310" s="795">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0.17456056711820805</v>
      </c>
      <c r="AC310" s="796">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0.19856592868102796</v>
      </c>
      <c r="AD310" s="1069">
        <f t="shared" si="117"/>
        <v>0.19242708431144412</v>
      </c>
      <c r="AE310" s="1073">
        <f t="shared" si="120"/>
        <v>1.1942389746948676E-4</v>
      </c>
      <c r="AF310" s="1074">
        <f t="shared" si="121"/>
        <v>3.47571788591619E-4</v>
      </c>
      <c r="AG310" s="1074">
        <f t="shared" si="122"/>
        <v>4.6699568606110576E-4</v>
      </c>
      <c r="AH310" s="1015">
        <f t="shared" si="118"/>
        <v>0.25572805281516092</v>
      </c>
      <c r="AI310" s="1075">
        <f t="shared" si="119"/>
        <v>0.74427194718483913</v>
      </c>
    </row>
    <row r="311" spans="1:35" x14ac:dyDescent="0.2">
      <c r="A311" s="202">
        <v>2032</v>
      </c>
      <c r="B311" s="216">
        <v>0</v>
      </c>
      <c r="C311" s="217">
        <v>0</v>
      </c>
      <c r="D311" s="217">
        <v>0</v>
      </c>
      <c r="E311" s="217">
        <v>0</v>
      </c>
      <c r="F311" s="217">
        <v>0</v>
      </c>
      <c r="G311" s="217">
        <v>1.3241733943357379E-4</v>
      </c>
      <c r="H311" s="217">
        <v>5.0392145369085586E-3</v>
      </c>
      <c r="I311" s="217">
        <v>1.0884624049696874E-2</v>
      </c>
      <c r="J311" s="217">
        <v>1.9168952904856949E-2</v>
      </c>
      <c r="K311" s="217">
        <v>3.3470843844529752E-2</v>
      </c>
      <c r="L311" s="252">
        <v>3.3470843844529752E-2</v>
      </c>
      <c r="M311" s="168">
        <f t="shared" si="113"/>
        <v>1.9882041527939366E-4</v>
      </c>
      <c r="N311" s="170">
        <f t="shared" si="114"/>
        <v>3.1993602772394556E-5</v>
      </c>
      <c r="O311" s="216">
        <v>0</v>
      </c>
      <c r="P311" s="217">
        <v>0</v>
      </c>
      <c r="Q311" s="217">
        <v>0</v>
      </c>
      <c r="R311" s="217">
        <v>0</v>
      </c>
      <c r="S311" s="217">
        <v>0</v>
      </c>
      <c r="T311" s="217">
        <v>9.1095449160978061E-4</v>
      </c>
      <c r="U311" s="217">
        <v>6.300030304454223E-3</v>
      </c>
      <c r="V311" s="217">
        <v>1.6108715525640534E-2</v>
      </c>
      <c r="W311" s="217">
        <v>2.679043278997989E-2</v>
      </c>
      <c r="X311" s="217">
        <v>3.3440015334901464E-2</v>
      </c>
      <c r="Y311" s="252">
        <v>4.8641065440430294E-2</v>
      </c>
      <c r="Z311" s="168">
        <f t="shared" si="115"/>
        <v>6.0613005955329011E-4</v>
      </c>
      <c r="AA311" s="170">
        <f t="shared" si="116"/>
        <v>1.0871874464885581E-4</v>
      </c>
      <c r="AB311" s="795">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0.18193208812050676</v>
      </c>
      <c r="AC311" s="796">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0.20278962825104668</v>
      </c>
      <c r="AD311" s="1069">
        <f t="shared" si="117"/>
        <v>0.19763787678295475</v>
      </c>
      <c r="AE311" s="1073">
        <f t="shared" si="120"/>
        <v>1.9882041527939366E-4</v>
      </c>
      <c r="AF311" s="1074">
        <f t="shared" si="121"/>
        <v>6.0613005955329011E-4</v>
      </c>
      <c r="AG311" s="1074">
        <f t="shared" si="122"/>
        <v>8.0495047483268383E-4</v>
      </c>
      <c r="AH311" s="1015">
        <f t="shared" si="118"/>
        <v>0.24699707807579127</v>
      </c>
      <c r="AI311" s="1075">
        <f t="shared" si="119"/>
        <v>0.7530029219242087</v>
      </c>
    </row>
    <row r="312" spans="1:35" x14ac:dyDescent="0.2">
      <c r="A312" s="202">
        <v>2033</v>
      </c>
      <c r="B312" s="216">
        <v>0</v>
      </c>
      <c r="C312" s="217">
        <v>0</v>
      </c>
      <c r="D312" s="217">
        <v>0</v>
      </c>
      <c r="E312" s="217">
        <v>0</v>
      </c>
      <c r="F312" s="217">
        <v>2.9436760142294576E-5</v>
      </c>
      <c r="G312" s="217">
        <v>7.7933733500638283E-4</v>
      </c>
      <c r="H312" s="217">
        <v>1.1729264478912581E-2</v>
      </c>
      <c r="I312" s="217">
        <v>2.1335534083013748E-2</v>
      </c>
      <c r="J312" s="217">
        <v>3.242174284474187E-2</v>
      </c>
      <c r="K312" s="217">
        <v>5.0077002113031885E-2</v>
      </c>
      <c r="L312" s="252">
        <v>5.0077002113031885E-2</v>
      </c>
      <c r="M312" s="168">
        <f t="shared" si="113"/>
        <v>3.6036689365231397E-4</v>
      </c>
      <c r="N312" s="170">
        <f t="shared" si="114"/>
        <v>6.0648643064789074E-5</v>
      </c>
      <c r="O312" s="216">
        <v>0</v>
      </c>
      <c r="P312" s="217">
        <v>0</v>
      </c>
      <c r="Q312" s="217">
        <v>0</v>
      </c>
      <c r="R312" s="217">
        <v>0</v>
      </c>
      <c r="S312" s="217">
        <v>1.8259555265774579E-4</v>
      </c>
      <c r="T312" s="217">
        <v>2.8084214970768287E-3</v>
      </c>
      <c r="U312" s="217">
        <v>1.3065974877025687E-2</v>
      </c>
      <c r="V312" s="217">
        <v>2.7643213957466082E-2</v>
      </c>
      <c r="W312" s="217">
        <v>4.3464131724208259E-2</v>
      </c>
      <c r="X312" s="217">
        <v>5.3076245981723724E-2</v>
      </c>
      <c r="Y312" s="252">
        <v>6.5286811561735866E-2</v>
      </c>
      <c r="Z312" s="168">
        <f t="shared" si="115"/>
        <v>1.0780065881060995E-3</v>
      </c>
      <c r="AA312" s="170">
        <f t="shared" si="116"/>
        <v>1.9728773470582784E-4</v>
      </c>
      <c r="AB312" s="795">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0.19032762887510921</v>
      </c>
      <c r="AC312" s="796">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0.20696852565990603</v>
      </c>
      <c r="AD312" s="1069">
        <f>AB312*AH312+AC312*AI312</f>
        <v>0.20279935238329994</v>
      </c>
      <c r="AE312" s="1073">
        <f t="shared" si="120"/>
        <v>3.6036689365231397E-4</v>
      </c>
      <c r="AF312" s="1074">
        <f t="shared" si="121"/>
        <v>1.0780065881060995E-3</v>
      </c>
      <c r="AG312" s="1074">
        <f t="shared" si="122"/>
        <v>1.4383734817584135E-3</v>
      </c>
      <c r="AH312" s="1015">
        <f t="shared" si="118"/>
        <v>0.25053777633036239</v>
      </c>
      <c r="AI312" s="1075">
        <f t="shared" si="119"/>
        <v>0.74946222366963755</v>
      </c>
    </row>
    <row r="313" spans="1:35" x14ac:dyDescent="0.2">
      <c r="A313" s="202">
        <v>2034</v>
      </c>
      <c r="B313" s="216">
        <v>0</v>
      </c>
      <c r="C313" s="217">
        <v>0</v>
      </c>
      <c r="D313" s="217">
        <v>0</v>
      </c>
      <c r="E313" s="217">
        <v>0</v>
      </c>
      <c r="F313" s="217">
        <v>1.4549576649616189E-4</v>
      </c>
      <c r="G313" s="217">
        <v>1.8461968184316502E-3</v>
      </c>
      <c r="H313" s="217">
        <v>2.028357941770325E-2</v>
      </c>
      <c r="I313" s="217">
        <v>3.1555277086023695E-2</v>
      </c>
      <c r="J313" s="217">
        <v>4.6649548605394095E-2</v>
      </c>
      <c r="K313" s="217">
        <v>6.441317564443963E-2</v>
      </c>
      <c r="L313" s="252">
        <v>6.441317564443963E-2</v>
      </c>
      <c r="M313" s="168">
        <f t="shared" si="113"/>
        <v>5.431040143545232E-4</v>
      </c>
      <c r="N313" s="170">
        <f t="shared" si="114"/>
        <v>9.4346575365005905E-5</v>
      </c>
      <c r="O313" s="216">
        <v>0</v>
      </c>
      <c r="P313" s="217">
        <v>0</v>
      </c>
      <c r="Q313" s="217">
        <v>0</v>
      </c>
      <c r="R313" s="217">
        <v>0</v>
      </c>
      <c r="S313" s="217">
        <v>6.4294900053997581E-4</v>
      </c>
      <c r="T313" s="217">
        <v>6.0519856962821771E-3</v>
      </c>
      <c r="U313" s="217">
        <v>2.2074681785497902E-2</v>
      </c>
      <c r="V313" s="217">
        <v>4.026159095039393E-2</v>
      </c>
      <c r="W313" s="217">
        <v>5.6422235688662364E-2</v>
      </c>
      <c r="X313" s="217">
        <v>6.7465663141882473E-2</v>
      </c>
      <c r="Y313" s="252">
        <v>8.1533175180286188E-2</v>
      </c>
      <c r="Z313" s="168">
        <f t="shared" si="115"/>
        <v>1.6251672912210415E-3</v>
      </c>
      <c r="AA313" s="170">
        <f t="shared" si="116"/>
        <v>3.027119854903716E-4</v>
      </c>
      <c r="AB313" s="795">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0.19649528873550792</v>
      </c>
      <c r="AC313" s="796">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0.21068836746370523</v>
      </c>
      <c r="AD313" s="1069">
        <f t="shared" ref="AD313:AD329" si="123">AB313*AH313+AC313*AI313</f>
        <v>0.20713331509848121</v>
      </c>
      <c r="AE313" s="1073">
        <f t="shared" si="120"/>
        <v>5.431040143545232E-4</v>
      </c>
      <c r="AF313" s="1074">
        <f t="shared" si="121"/>
        <v>1.6251672912210415E-3</v>
      </c>
      <c r="AG313" s="1074">
        <f t="shared" si="122"/>
        <v>2.1682713055755647E-3</v>
      </c>
      <c r="AH313" s="1015">
        <f t="shared" si="118"/>
        <v>0.25047788667311494</v>
      </c>
      <c r="AI313" s="1075">
        <f t="shared" si="119"/>
        <v>0.74952211332688512</v>
      </c>
    </row>
    <row r="314" spans="1:35" ht="13.5" thickBot="1" x14ac:dyDescent="0.25">
      <c r="A314" s="200">
        <v>2035</v>
      </c>
      <c r="B314" s="218">
        <v>0</v>
      </c>
      <c r="C314" s="219">
        <v>0</v>
      </c>
      <c r="D314" s="219">
        <v>0</v>
      </c>
      <c r="E314" s="219">
        <v>0</v>
      </c>
      <c r="F314" s="219">
        <v>1.0566657178661279E-3</v>
      </c>
      <c r="G314" s="219">
        <v>7.2549284181910789E-3</v>
      </c>
      <c r="H314" s="219">
        <v>3.8211552292195611E-2</v>
      </c>
      <c r="I314" s="219">
        <v>5.2206014829395013E-2</v>
      </c>
      <c r="J314" s="219">
        <v>7.2808054053633484E-2</v>
      </c>
      <c r="K314" s="219">
        <v>8.9839937184773205E-2</v>
      </c>
      <c r="L314" s="253">
        <v>8.9839937184773205E-2</v>
      </c>
      <c r="M314" s="182">
        <f t="shared" si="113"/>
        <v>9.2453674871444277E-4</v>
      </c>
      <c r="N314" s="184">
        <f t="shared" si="114"/>
        <v>1.6743356310990875E-4</v>
      </c>
      <c r="O314" s="218">
        <v>0</v>
      </c>
      <c r="P314" s="219">
        <v>0</v>
      </c>
      <c r="Q314" s="219">
        <v>0</v>
      </c>
      <c r="R314" s="219">
        <v>1.0245271098415866E-4</v>
      </c>
      <c r="S314" s="219">
        <v>2.9470175334404981E-3</v>
      </c>
      <c r="T314" s="219">
        <v>1.6254145133791822E-2</v>
      </c>
      <c r="U314" s="219">
        <v>4.1406828972507081E-2</v>
      </c>
      <c r="V314" s="219">
        <v>6.3475144571694467E-2</v>
      </c>
      <c r="W314" s="219">
        <v>7.9775528296339826E-2</v>
      </c>
      <c r="X314" s="219">
        <v>9.2911790667828592E-2</v>
      </c>
      <c r="Y314" s="253">
        <v>0.10461651809029172</v>
      </c>
      <c r="Z314" s="182">
        <f t="shared" si="115"/>
        <v>2.7542516709426696E-3</v>
      </c>
      <c r="AA314" s="184">
        <f t="shared" si="116"/>
        <v>5.2838610931735285E-4</v>
      </c>
      <c r="AB314" s="795">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0.20490701097973257</v>
      </c>
      <c r="AC314" s="796">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0.21706322312021828</v>
      </c>
      <c r="AD314" s="1069">
        <f t="shared" si="123"/>
        <v>0.21400817793496263</v>
      </c>
      <c r="AE314" s="1073">
        <f t="shared" si="120"/>
        <v>9.2453674871444277E-4</v>
      </c>
      <c r="AF314" s="1074">
        <f t="shared" si="121"/>
        <v>2.7542516709426696E-3</v>
      </c>
      <c r="AG314" s="1074">
        <f t="shared" si="122"/>
        <v>3.6787884196571126E-3</v>
      </c>
      <c r="AH314" s="1015">
        <f t="shared" si="118"/>
        <v>0.25131555372260733</v>
      </c>
      <c r="AI314" s="1075">
        <f t="shared" si="119"/>
        <v>0.74868444627739261</v>
      </c>
    </row>
    <row r="315" spans="1:35" x14ac:dyDescent="0.2">
      <c r="A315" s="201">
        <v>2036</v>
      </c>
      <c r="B315" s="214">
        <v>0</v>
      </c>
      <c r="C315" s="215">
        <v>0</v>
      </c>
      <c r="D315" s="215">
        <v>0</v>
      </c>
      <c r="E315" s="215">
        <v>8.7625268683676614E-5</v>
      </c>
      <c r="F315" s="215">
        <v>3.1076595886261583E-3</v>
      </c>
      <c r="G315" s="215">
        <v>1.4014143219924868E-2</v>
      </c>
      <c r="H315" s="215">
        <v>5.2352083964759905E-2</v>
      </c>
      <c r="I315" s="215">
        <v>6.9102014847103044E-2</v>
      </c>
      <c r="J315" s="215">
        <v>8.7366997630900931E-2</v>
      </c>
      <c r="K315" s="215">
        <v>0.1052916077940428</v>
      </c>
      <c r="L315" s="251">
        <v>0.1052916077940428</v>
      </c>
      <c r="M315" s="154">
        <f t="shared" si="113"/>
        <v>1.2415050084234219E-3</v>
      </c>
      <c r="N315" s="156">
        <f t="shared" si="114"/>
        <v>2.3335688631128542E-4</v>
      </c>
      <c r="O315" s="214">
        <v>0</v>
      </c>
      <c r="P315" s="215">
        <v>0</v>
      </c>
      <c r="Q315" s="215">
        <v>0</v>
      </c>
      <c r="R315" s="215">
        <v>5.0369537467899613E-4</v>
      </c>
      <c r="S315" s="215">
        <v>7.7984302478072923E-3</v>
      </c>
      <c r="T315" s="215">
        <v>2.6095786307330577E-2</v>
      </c>
      <c r="U315" s="215">
        <v>5.5851339902117277E-2</v>
      </c>
      <c r="V315" s="215">
        <v>8.1640050701909619E-2</v>
      </c>
      <c r="W315" s="215">
        <v>9.9577503410463619E-2</v>
      </c>
      <c r="X315" s="215">
        <v>0.10348140873117366</v>
      </c>
      <c r="Y315" s="251">
        <v>0.11889753987399786</v>
      </c>
      <c r="Z315" s="154">
        <f t="shared" si="115"/>
        <v>3.7131594427548065E-3</v>
      </c>
      <c r="AA315" s="156">
        <f t="shared" si="116"/>
        <v>7.2996969860716606E-4</v>
      </c>
      <c r="AB315" s="795">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0.21620243912552956</v>
      </c>
      <c r="AC315" s="796">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0.22612557192337496</v>
      </c>
      <c r="AD315" s="1069">
        <f t="shared" si="123"/>
        <v>0.22363910302337786</v>
      </c>
      <c r="AE315" s="1073">
        <f t="shared" si="120"/>
        <v>1.2415050084234219E-3</v>
      </c>
      <c r="AF315" s="1074">
        <f t="shared" si="121"/>
        <v>3.7131594427548065E-3</v>
      </c>
      <c r="AG315" s="1074">
        <f t="shared" si="122"/>
        <v>4.9546644511782286E-3</v>
      </c>
      <c r="AH315" s="1015">
        <f t="shared" si="118"/>
        <v>0.25057297434706999</v>
      </c>
      <c r="AI315" s="1075">
        <f t="shared" si="119"/>
        <v>0.74942702565292996</v>
      </c>
    </row>
    <row r="316" spans="1:35" x14ac:dyDescent="0.2">
      <c r="A316" s="202">
        <v>2037</v>
      </c>
      <c r="B316" s="216">
        <v>0</v>
      </c>
      <c r="C316" s="217">
        <v>0</v>
      </c>
      <c r="D316" s="217">
        <v>0</v>
      </c>
      <c r="E316" s="217">
        <v>2.229604996407276E-4</v>
      </c>
      <c r="F316" s="217">
        <v>5.5319610368943809E-3</v>
      </c>
      <c r="G316" s="217">
        <v>1.8028696613503207E-2</v>
      </c>
      <c r="H316" s="217">
        <v>6.232055844651184E-2</v>
      </c>
      <c r="I316" s="217">
        <v>7.5561863048061034E-2</v>
      </c>
      <c r="J316" s="217">
        <v>9.4264117591074156E-2</v>
      </c>
      <c r="K316" s="217">
        <v>0.111977913102007</v>
      </c>
      <c r="L316" s="252">
        <v>0.111977913102007</v>
      </c>
      <c r="M316" s="168">
        <f t="shared" si="113"/>
        <v>1.4728790316683186E-3</v>
      </c>
      <c r="N316" s="170">
        <f t="shared" si="114"/>
        <v>2.8531448379827981E-4</v>
      </c>
      <c r="O316" s="216">
        <v>0</v>
      </c>
      <c r="P316" s="217">
        <v>0</v>
      </c>
      <c r="Q316" s="217">
        <v>0</v>
      </c>
      <c r="R316" s="217">
        <v>1.1625503814244184E-3</v>
      </c>
      <c r="S316" s="217">
        <v>1.025670100173705E-2</v>
      </c>
      <c r="T316" s="217">
        <v>3.2409962374843719E-2</v>
      </c>
      <c r="U316" s="217">
        <v>6.5833172438035714E-2</v>
      </c>
      <c r="V316" s="217">
        <v>8.8272507951620227E-2</v>
      </c>
      <c r="W316" s="217">
        <v>0.10657039401841244</v>
      </c>
      <c r="X316" s="217">
        <v>0.11031934270652072</v>
      </c>
      <c r="Y316" s="252">
        <v>0.12578392334709443</v>
      </c>
      <c r="Z316" s="168">
        <f t="shared" si="115"/>
        <v>4.2310973637260203E-3</v>
      </c>
      <c r="AA316" s="170">
        <f t="shared" si="116"/>
        <v>8.4631564468384086E-4</v>
      </c>
      <c r="AB316" s="795">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0.22442628730209499</v>
      </c>
      <c r="AC316" s="796">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0.23173750963549453</v>
      </c>
      <c r="AD316" s="1069">
        <f t="shared" si="123"/>
        <v>0.22984960805171092</v>
      </c>
      <c r="AE316" s="1073">
        <f t="shared" si="120"/>
        <v>1.4728790316683186E-3</v>
      </c>
      <c r="AF316" s="1074">
        <f t="shared" si="121"/>
        <v>4.2310973637260203E-3</v>
      </c>
      <c r="AG316" s="1074">
        <f t="shared" si="122"/>
        <v>5.7039763953943392E-3</v>
      </c>
      <c r="AH316" s="1015">
        <f t="shared" si="118"/>
        <v>0.25821969264416855</v>
      </c>
      <c r="AI316" s="1075">
        <f t="shared" si="119"/>
        <v>0.74178030735583145</v>
      </c>
    </row>
    <row r="317" spans="1:35" x14ac:dyDescent="0.2">
      <c r="A317" s="202">
        <v>2038</v>
      </c>
      <c r="B317" s="216">
        <v>0</v>
      </c>
      <c r="C317" s="217">
        <v>0</v>
      </c>
      <c r="D317" s="217">
        <v>0</v>
      </c>
      <c r="E317" s="217">
        <v>6.3905726818012367E-4</v>
      </c>
      <c r="F317" s="217">
        <v>9.6057486936290022E-3</v>
      </c>
      <c r="G317" s="217">
        <v>2.8383773575383967E-2</v>
      </c>
      <c r="H317" s="217">
        <v>7.3774210250016348E-2</v>
      </c>
      <c r="I317" s="217">
        <v>8.7854887552679103E-2</v>
      </c>
      <c r="J317" s="217">
        <v>0.10685037939098099</v>
      </c>
      <c r="K317" s="217">
        <v>0.11952455764908233</v>
      </c>
      <c r="L317" s="252">
        <v>0.11952455764908233</v>
      </c>
      <c r="M317" s="168">
        <f t="shared" si="113"/>
        <v>1.7799303044853149E-3</v>
      </c>
      <c r="N317" s="170">
        <f t="shared" si="114"/>
        <v>3.5871064807438798E-4</v>
      </c>
      <c r="O317" s="216">
        <v>0</v>
      </c>
      <c r="P317" s="217">
        <v>0</v>
      </c>
      <c r="Q317" s="217">
        <v>0</v>
      </c>
      <c r="R317" s="217">
        <v>2.5384976585553541E-3</v>
      </c>
      <c r="S317" s="217">
        <v>1.6939393159341752E-2</v>
      </c>
      <c r="T317" s="217">
        <v>4.3828540355297055E-2</v>
      </c>
      <c r="U317" s="217">
        <v>7.2556252689535153E-2</v>
      </c>
      <c r="V317" s="217">
        <v>9.5963987892841981E-2</v>
      </c>
      <c r="W317" s="217">
        <v>0.11400928274692146</v>
      </c>
      <c r="X317" s="217">
        <v>0.11822856146640855</v>
      </c>
      <c r="Y317" s="252">
        <v>0.13318409946745272</v>
      </c>
      <c r="Z317" s="168">
        <f t="shared" si="115"/>
        <v>4.869789866718253E-3</v>
      </c>
      <c r="AA317" s="170">
        <f t="shared" si="116"/>
        <v>1.0038066256773343E-3</v>
      </c>
      <c r="AB317" s="795">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0.23578948646501757</v>
      </c>
      <c r="AC317" s="796">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0.2411698434958281</v>
      </c>
      <c r="AD317" s="1069">
        <f t="shared" si="123"/>
        <v>0.23972968356705965</v>
      </c>
      <c r="AE317" s="1073">
        <f t="shared" si="120"/>
        <v>1.7799303044853149E-3</v>
      </c>
      <c r="AF317" s="1074">
        <f t="shared" si="121"/>
        <v>4.869789866718253E-3</v>
      </c>
      <c r="AG317" s="1074">
        <f t="shared" si="122"/>
        <v>6.6497201712035683E-3</v>
      </c>
      <c r="AH317" s="1015">
        <f t="shared" si="118"/>
        <v>0.26766995582660069</v>
      </c>
      <c r="AI317" s="1075">
        <f t="shared" si="119"/>
        <v>0.7323300441733992</v>
      </c>
    </row>
    <row r="318" spans="1:35" x14ac:dyDescent="0.2">
      <c r="A318" s="202">
        <v>2039</v>
      </c>
      <c r="B318" s="216">
        <v>0</v>
      </c>
      <c r="C318" s="217">
        <v>0</v>
      </c>
      <c r="D318" s="217">
        <v>0</v>
      </c>
      <c r="E318" s="217">
        <v>2.3328289885876682E-3</v>
      </c>
      <c r="F318" s="217">
        <v>1.8016130968522386E-2</v>
      </c>
      <c r="G318" s="217">
        <v>3.9486184049615396E-2</v>
      </c>
      <c r="H318" s="217">
        <v>8.736562057371168E-2</v>
      </c>
      <c r="I318" s="217">
        <v>0.10217408248618944</v>
      </c>
      <c r="J318" s="217">
        <v>0.11585686954879326</v>
      </c>
      <c r="K318" s="217">
        <v>0.13294186657009363</v>
      </c>
      <c r="L318" s="252">
        <v>0.13294186657009363</v>
      </c>
      <c r="M318" s="168">
        <f t="shared" si="113"/>
        <v>2.2898541620329266E-3</v>
      </c>
      <c r="N318" s="170">
        <f t="shared" si="114"/>
        <v>4.9237611129027061E-4</v>
      </c>
      <c r="O318" s="216">
        <v>0</v>
      </c>
      <c r="P318" s="217">
        <v>0</v>
      </c>
      <c r="Q318" s="217">
        <v>0</v>
      </c>
      <c r="R318" s="217">
        <v>6.1739263377992206E-3</v>
      </c>
      <c r="S318" s="217">
        <v>2.7144271304184564E-2</v>
      </c>
      <c r="T318" s="217">
        <v>5.8546856101640274E-2</v>
      </c>
      <c r="U318" s="217">
        <v>9.1315291595570572E-2</v>
      </c>
      <c r="V318" s="217">
        <v>0.11055290230256187</v>
      </c>
      <c r="W318" s="217">
        <v>0.12332714182726814</v>
      </c>
      <c r="X318" s="217">
        <v>0.13219822359790304</v>
      </c>
      <c r="Y318" s="252">
        <v>0.14271092306775246</v>
      </c>
      <c r="Z318" s="168">
        <f t="shared" si="115"/>
        <v>6.1366161294106837E-3</v>
      </c>
      <c r="AA318" s="170">
        <f t="shared" si="116"/>
        <v>1.3185760516744682E-3</v>
      </c>
      <c r="AB318" s="795">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0.25484687360062253</v>
      </c>
      <c r="AC318" s="796">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0.2546633138713304</v>
      </c>
      <c r="AD318" s="1069">
        <f t="shared" si="123"/>
        <v>0.25471319537515863</v>
      </c>
      <c r="AE318" s="1073">
        <f t="shared" si="120"/>
        <v>2.2898541620329266E-3</v>
      </c>
      <c r="AF318" s="1074">
        <f t="shared" si="121"/>
        <v>6.1366161294106837E-3</v>
      </c>
      <c r="AG318" s="1074">
        <f t="shared" si="122"/>
        <v>8.4264702914436107E-3</v>
      </c>
      <c r="AH318" s="1015">
        <f t="shared" si="118"/>
        <v>0.27174535515280768</v>
      </c>
      <c r="AI318" s="1075">
        <f t="shared" si="119"/>
        <v>0.72825464484719227</v>
      </c>
    </row>
    <row r="319" spans="1:35" ht="13.5" thickBot="1" x14ac:dyDescent="0.25">
      <c r="A319" s="200">
        <v>2040</v>
      </c>
      <c r="B319" s="218">
        <v>0</v>
      </c>
      <c r="C319" s="219">
        <v>0</v>
      </c>
      <c r="D319" s="219">
        <v>0</v>
      </c>
      <c r="E319" s="219">
        <v>6.6588518287938585E-3</v>
      </c>
      <c r="F319" s="219">
        <v>3.2338741942148731E-2</v>
      </c>
      <c r="G319" s="219">
        <v>5.8610807217223622E-2</v>
      </c>
      <c r="H319" s="219">
        <v>0.10875229068742324</v>
      </c>
      <c r="I319" s="219">
        <v>0.11807050425612034</v>
      </c>
      <c r="J319" s="219">
        <v>0.13214312089890942</v>
      </c>
      <c r="K319" s="219">
        <v>0.14451114335838305</v>
      </c>
      <c r="L319" s="253">
        <v>0.14451114335838305</v>
      </c>
      <c r="M319" s="182">
        <f t="shared" si="113"/>
        <v>3.1558474597992163E-3</v>
      </c>
      <c r="N319" s="184">
        <f t="shared" si="114"/>
        <v>7.3429262195095861E-4</v>
      </c>
      <c r="O319" s="218">
        <v>0</v>
      </c>
      <c r="P319" s="219">
        <v>0</v>
      </c>
      <c r="Q319" s="219">
        <v>7.4128437160126342E-5</v>
      </c>
      <c r="R319" s="219">
        <v>1.3827324199784019E-2</v>
      </c>
      <c r="S319" s="219">
        <v>4.5925227088087973E-2</v>
      </c>
      <c r="T319" s="219">
        <v>7.6709601802955704E-2</v>
      </c>
      <c r="U319" s="219">
        <v>0.10672714246049154</v>
      </c>
      <c r="V319" s="219">
        <v>0.12681117563701799</v>
      </c>
      <c r="W319" s="219">
        <v>0.13979323797616142</v>
      </c>
      <c r="X319" s="219">
        <v>0.14369186775230622</v>
      </c>
      <c r="Y319" s="253">
        <v>0.15378639170301628</v>
      </c>
      <c r="Z319" s="182">
        <f t="shared" si="115"/>
        <v>7.8155678921010847E-3</v>
      </c>
      <c r="AA319" s="184">
        <f t="shared" si="116"/>
        <v>1.7762429849403883E-3</v>
      </c>
      <c r="AB319" s="795">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0.28026333764247174</v>
      </c>
      <c r="AC319" s="796">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0.27375052703661612</v>
      </c>
      <c r="AD319" s="1069">
        <f t="shared" si="123"/>
        <v>0.27562388941944516</v>
      </c>
      <c r="AE319" s="1073">
        <f t="shared" si="120"/>
        <v>3.1558474597992163E-3</v>
      </c>
      <c r="AF319" s="1074">
        <f t="shared" si="121"/>
        <v>7.8155678921010847E-3</v>
      </c>
      <c r="AG319" s="1074">
        <f t="shared" si="122"/>
        <v>1.0971415351900301E-2</v>
      </c>
      <c r="AH319" s="1015">
        <f t="shared" si="118"/>
        <v>0.28764269317837909</v>
      </c>
      <c r="AI319" s="1075">
        <f t="shared" si="119"/>
        <v>0.71235730682162091</v>
      </c>
    </row>
    <row r="320" spans="1:35" x14ac:dyDescent="0.2">
      <c r="A320" s="201">
        <v>2041</v>
      </c>
      <c r="B320" s="214">
        <v>0</v>
      </c>
      <c r="C320" s="215">
        <v>0</v>
      </c>
      <c r="D320" s="215">
        <v>1.7073967211613845E-4</v>
      </c>
      <c r="E320" s="215">
        <v>2.1155731182687383E-2</v>
      </c>
      <c r="F320" s="215">
        <v>5.8873694424118814E-2</v>
      </c>
      <c r="G320" s="215">
        <v>8.8858165444834852E-2</v>
      </c>
      <c r="H320" s="215">
        <v>0.13111086274491668</v>
      </c>
      <c r="I320" s="215">
        <v>0.14071212593025029</v>
      </c>
      <c r="J320" s="215">
        <v>0.14951497551639253</v>
      </c>
      <c r="K320" s="215">
        <v>0.16081667797669907</v>
      </c>
      <c r="L320" s="251">
        <v>0.16081667797669907</v>
      </c>
      <c r="M320" s="154">
        <f t="shared" si="113"/>
        <v>4.7924198721776001E-3</v>
      </c>
      <c r="N320" s="156">
        <f t="shared" si="114"/>
        <v>1.2497311352445523E-3</v>
      </c>
      <c r="O320" s="214">
        <v>0</v>
      </c>
      <c r="P320" s="215">
        <v>0</v>
      </c>
      <c r="Q320" s="215">
        <v>1.3029912724111246E-3</v>
      </c>
      <c r="R320" s="215">
        <v>3.4902020134802321E-2</v>
      </c>
      <c r="S320" s="215">
        <v>7.2456246161372209E-2</v>
      </c>
      <c r="T320" s="215">
        <v>0.10352711473696651</v>
      </c>
      <c r="U320" s="215">
        <v>0.13021923910613609</v>
      </c>
      <c r="V320" s="215">
        <v>0.14430016060776948</v>
      </c>
      <c r="W320" s="215">
        <v>0.15645612368191261</v>
      </c>
      <c r="X320" s="215">
        <v>0.1599775096708542</v>
      </c>
      <c r="Y320" s="251">
        <v>0.16609897190278777</v>
      </c>
      <c r="Z320" s="154">
        <f t="shared" si="115"/>
        <v>1.0804487472821494E-2</v>
      </c>
      <c r="AA320" s="156">
        <f t="shared" si="116"/>
        <v>2.6952195223750646E-3</v>
      </c>
      <c r="AB320" s="795">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0.32015492785294819</v>
      </c>
      <c r="AC320" s="796">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0.30625870013862488</v>
      </c>
      <c r="AD320" s="1069">
        <f t="shared" si="123"/>
        <v>0.31052855674374102</v>
      </c>
      <c r="AE320" s="1073">
        <f t="shared" si="120"/>
        <v>4.7924198721776001E-3</v>
      </c>
      <c r="AF320" s="1074">
        <f t="shared" si="121"/>
        <v>1.0804487472821494E-2</v>
      </c>
      <c r="AG320" s="1074">
        <f t="shared" si="122"/>
        <v>1.5596907344999094E-2</v>
      </c>
      <c r="AH320" s="1015">
        <f t="shared" si="118"/>
        <v>0.30726731692191628</v>
      </c>
      <c r="AI320" s="1075">
        <f t="shared" si="119"/>
        <v>0.69273268307808378</v>
      </c>
    </row>
    <row r="321" spans="1:35" x14ac:dyDescent="0.2">
      <c r="A321" s="202">
        <v>2042</v>
      </c>
      <c r="B321" s="216">
        <v>0</v>
      </c>
      <c r="C321" s="217">
        <v>0</v>
      </c>
      <c r="D321" s="217">
        <v>4.0775386548692538E-3</v>
      </c>
      <c r="E321" s="217">
        <v>5.4312857458275972E-2</v>
      </c>
      <c r="F321" s="217">
        <v>9.5639500808180039E-2</v>
      </c>
      <c r="G321" s="217">
        <v>0.12371028948423679</v>
      </c>
      <c r="H321" s="217">
        <v>0.1544532994095511</v>
      </c>
      <c r="I321" s="217">
        <v>0.16310762528522457</v>
      </c>
      <c r="J321" s="217">
        <v>0.1706669501263943</v>
      </c>
      <c r="K321" s="217">
        <v>0.1769687201382581</v>
      </c>
      <c r="L321" s="252">
        <v>0.1769687201382581</v>
      </c>
      <c r="M321" s="168">
        <f t="shared" si="113"/>
        <v>7.8392283335482569E-3</v>
      </c>
      <c r="N321" s="170">
        <f t="shared" si="114"/>
        <v>2.3521726661104884E-3</v>
      </c>
      <c r="O321" s="216">
        <v>0</v>
      </c>
      <c r="P321" s="217">
        <v>0</v>
      </c>
      <c r="Q321" s="217">
        <v>1.1679216473199621E-2</v>
      </c>
      <c r="R321" s="217">
        <v>6.8019378929175228E-2</v>
      </c>
      <c r="S321" s="217">
        <v>0.10610086787380778</v>
      </c>
      <c r="T321" s="217">
        <v>0.13356414997973542</v>
      </c>
      <c r="U321" s="217">
        <v>0.15342356686074277</v>
      </c>
      <c r="V321" s="217">
        <v>0.16703445582589371</v>
      </c>
      <c r="W321" s="217">
        <v>0.17398505465256728</v>
      </c>
      <c r="X321" s="217">
        <v>0.1769687201382581</v>
      </c>
      <c r="Y321" s="252">
        <v>0.18184899343437783</v>
      </c>
      <c r="Z321" s="168">
        <f t="shared" si="115"/>
        <v>1.5540274209821889E-2</v>
      </c>
      <c r="AA321" s="170">
        <f t="shared" si="116"/>
        <v>4.3782898115188257E-3</v>
      </c>
      <c r="AB321" s="795">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0.37618910144552731</v>
      </c>
      <c r="AC321" s="796">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0.35322883798903837</v>
      </c>
      <c r="AD321" s="1069">
        <f t="shared" si="123"/>
        <v>0.36092749400192614</v>
      </c>
      <c r="AE321" s="1073">
        <f t="shared" si="120"/>
        <v>7.8392283335482569E-3</v>
      </c>
      <c r="AF321" s="1074">
        <f t="shared" si="121"/>
        <v>1.5540274209821889E-2</v>
      </c>
      <c r="AG321" s="1074">
        <f t="shared" si="122"/>
        <v>2.3379502543370144E-2</v>
      </c>
      <c r="AH321" s="1015">
        <f t="shared" si="118"/>
        <v>0.33530347016606094</v>
      </c>
      <c r="AI321" s="1075">
        <f t="shared" si="119"/>
        <v>0.66469652983393912</v>
      </c>
    </row>
    <row r="322" spans="1:35" x14ac:dyDescent="0.2">
      <c r="A322" s="202">
        <v>2043</v>
      </c>
      <c r="B322" s="216">
        <v>0</v>
      </c>
      <c r="C322" s="217">
        <v>8.3447353146125369E-5</v>
      </c>
      <c r="D322" s="217">
        <v>2.5683251465734275E-2</v>
      </c>
      <c r="E322" s="217">
        <v>9.7132324266679476E-2</v>
      </c>
      <c r="F322" s="217">
        <v>0.13249508274548344</v>
      </c>
      <c r="G322" s="217">
        <v>0.15450754948052964</v>
      </c>
      <c r="H322" s="217">
        <v>0.17735403672430713</v>
      </c>
      <c r="I322" s="217">
        <v>0.18108010879627393</v>
      </c>
      <c r="J322" s="217">
        <v>0.1875314721096816</v>
      </c>
      <c r="K322" s="217">
        <v>0.1925165145952023</v>
      </c>
      <c r="L322" s="252">
        <v>0.1925165145952023</v>
      </c>
      <c r="M322" s="168">
        <f t="shared" si="113"/>
        <v>1.2903667253654189E-2</v>
      </c>
      <c r="N322" s="170">
        <f t="shared" si="114"/>
        <v>4.5337439814359219E-3</v>
      </c>
      <c r="O322" s="216">
        <v>0</v>
      </c>
      <c r="P322" s="217">
        <v>4.3525045524088208E-4</v>
      </c>
      <c r="Q322" s="217">
        <v>4.1886740410505635E-2</v>
      </c>
      <c r="R322" s="217">
        <v>0.11395121543467245</v>
      </c>
      <c r="S322" s="217">
        <v>0.14265822192812236</v>
      </c>
      <c r="T322" s="217">
        <v>0.16323358195393595</v>
      </c>
      <c r="U322" s="217">
        <v>0.17628546821630445</v>
      </c>
      <c r="V322" s="217">
        <v>0.18354824732550465</v>
      </c>
      <c r="W322" s="217">
        <v>0.19021773996604574</v>
      </c>
      <c r="X322" s="217">
        <v>0.1925165145952023</v>
      </c>
      <c r="Y322" s="252">
        <v>0.19392490608274646</v>
      </c>
      <c r="Z322" s="168">
        <f t="shared" si="115"/>
        <v>2.2722141648944517E-2</v>
      </c>
      <c r="AA322" s="170">
        <f t="shared" si="116"/>
        <v>7.3762777467094622E-3</v>
      </c>
      <c r="AB322" s="795">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0.4498227477672016</v>
      </c>
      <c r="AC322" s="796">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0.4146791980440151</v>
      </c>
      <c r="AD322" s="1069">
        <f t="shared" si="123"/>
        <v>0.42740819103277983</v>
      </c>
      <c r="AE322" s="1073">
        <f t="shared" si="120"/>
        <v>1.2903667253654189E-2</v>
      </c>
      <c r="AF322" s="1074">
        <f t="shared" si="121"/>
        <v>2.2722141648944517E-2</v>
      </c>
      <c r="AG322" s="1074">
        <f t="shared" si="122"/>
        <v>3.5625808902598706E-2</v>
      </c>
      <c r="AH322" s="1015">
        <f t="shared" si="118"/>
        <v>0.36219997948489913</v>
      </c>
      <c r="AI322" s="1075">
        <f t="shared" si="119"/>
        <v>0.63780002051510087</v>
      </c>
    </row>
    <row r="323" spans="1:35" x14ac:dyDescent="0.2">
      <c r="A323" s="202">
        <v>2044</v>
      </c>
      <c r="B323" s="216">
        <v>0</v>
      </c>
      <c r="C323" s="217">
        <v>4.3169558669715734E-3</v>
      </c>
      <c r="D323" s="217">
        <v>6.9360343308524822E-2</v>
      </c>
      <c r="E323" s="217">
        <v>0.14052181045993578</v>
      </c>
      <c r="F323" s="217">
        <v>0.16192544538312056</v>
      </c>
      <c r="G323" s="217">
        <v>0.17811421728449042</v>
      </c>
      <c r="H323" s="217">
        <v>0.19288443411671163</v>
      </c>
      <c r="I323" s="217">
        <v>0.19609122510156096</v>
      </c>
      <c r="J323" s="217">
        <v>0.20208724164899083</v>
      </c>
      <c r="K323" s="217">
        <v>0.20347347824555276</v>
      </c>
      <c r="L323" s="252">
        <v>0.20347347824555276</v>
      </c>
      <c r="M323" s="168">
        <f t="shared" si="113"/>
        <v>2.0297935270712102E-2</v>
      </c>
      <c r="N323" s="170">
        <f t="shared" si="114"/>
        <v>8.3606770157124005E-3</v>
      </c>
      <c r="O323" s="216">
        <v>0</v>
      </c>
      <c r="P323" s="217">
        <v>8.6410709760480469E-3</v>
      </c>
      <c r="Q323" s="217">
        <v>9.0755583380400739E-2</v>
      </c>
      <c r="R323" s="217">
        <v>0.15221859139011226</v>
      </c>
      <c r="S323" s="217">
        <v>0.17341251877759012</v>
      </c>
      <c r="T323" s="217">
        <v>0.18546673973614813</v>
      </c>
      <c r="U323" s="217">
        <v>0.19288443411671163</v>
      </c>
      <c r="V323" s="217">
        <v>0.19893863942800849</v>
      </c>
      <c r="W323" s="217">
        <v>0.20140678036991805</v>
      </c>
      <c r="X323" s="217">
        <v>0.20347347824555276</v>
      </c>
      <c r="Y323" s="252">
        <v>0.20511290748502836</v>
      </c>
      <c r="Z323" s="168">
        <f t="shared" si="115"/>
        <v>3.2766128627722227E-2</v>
      </c>
      <c r="AA323" s="170">
        <f t="shared" si="116"/>
        <v>1.2976065815420702E-2</v>
      </c>
      <c r="AB323" s="795">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0.5309746423925692</v>
      </c>
      <c r="AC323" s="796">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0.50044726826487695</v>
      </c>
      <c r="AD323" s="1069">
        <f t="shared" si="123"/>
        <v>0.51212452436826772</v>
      </c>
      <c r="AE323" s="1073">
        <f t="shared" si="120"/>
        <v>2.0297935270712102E-2</v>
      </c>
      <c r="AF323" s="1074">
        <f t="shared" si="121"/>
        <v>3.2766128627722227E-2</v>
      </c>
      <c r="AG323" s="1074">
        <f t="shared" si="122"/>
        <v>5.3064063898434329E-2</v>
      </c>
      <c r="AH323" s="1015">
        <f t="shared" si="118"/>
        <v>0.38251754161842472</v>
      </c>
      <c r="AI323" s="1075">
        <f t="shared" si="119"/>
        <v>0.61748245838157534</v>
      </c>
    </row>
    <row r="324" spans="1:35" ht="13.5" thickBot="1" x14ac:dyDescent="0.25">
      <c r="A324" s="200">
        <v>2045</v>
      </c>
      <c r="B324" s="218">
        <v>0</v>
      </c>
      <c r="C324" s="219">
        <v>2.7277403652011596E-2</v>
      </c>
      <c r="D324" s="219">
        <v>0.11218576227001269</v>
      </c>
      <c r="E324" s="219">
        <v>0.17043422502474237</v>
      </c>
      <c r="F324" s="219">
        <v>0.19007174225154472</v>
      </c>
      <c r="G324" s="219">
        <v>0.19810569666870545</v>
      </c>
      <c r="H324" s="219">
        <v>0.20663666539304387</v>
      </c>
      <c r="I324" s="219">
        <v>0.20914055353302019</v>
      </c>
      <c r="J324" s="219">
        <v>0.21123868611892843</v>
      </c>
      <c r="K324" s="219">
        <v>0.21290595164847687</v>
      </c>
      <c r="L324" s="253">
        <v>0.21290595164847687</v>
      </c>
      <c r="M324" s="182">
        <f t="shared" si="113"/>
        <v>2.9763198741220704E-2</v>
      </c>
      <c r="N324" s="184">
        <f t="shared" si="114"/>
        <v>1.4543439440236235E-2</v>
      </c>
      <c r="O324" s="218">
        <v>0</v>
      </c>
      <c r="P324" s="219">
        <v>4.1375991294610233E-2</v>
      </c>
      <c r="Q324" s="219">
        <v>0.1278054600435829</v>
      </c>
      <c r="R324" s="219">
        <v>0.18079650751414933</v>
      </c>
      <c r="S324" s="219">
        <v>0.19296499636570139</v>
      </c>
      <c r="T324" s="219">
        <v>0.20049535899813667</v>
      </c>
      <c r="U324" s="219">
        <v>0.20663666539304387</v>
      </c>
      <c r="V324" s="219">
        <v>0.21123868611892843</v>
      </c>
      <c r="W324" s="219">
        <v>0.21290595164847687</v>
      </c>
      <c r="X324" s="219">
        <v>0.21290595164847687</v>
      </c>
      <c r="Y324" s="253">
        <v>0.21411664094574159</v>
      </c>
      <c r="Z324" s="182">
        <f t="shared" si="115"/>
        <v>4.7477332002399467E-2</v>
      </c>
      <c r="AA324" s="184">
        <f t="shared" si="116"/>
        <v>2.3987030498764064E-2</v>
      </c>
      <c r="AB324" s="795">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0.61538116908359808</v>
      </c>
      <c r="AC324" s="796">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0.61031764899357721</v>
      </c>
      <c r="AD324" s="1069">
        <f t="shared" si="123"/>
        <v>0.61226878207511559</v>
      </c>
      <c r="AE324" s="1073">
        <f t="shared" si="120"/>
        <v>2.9763198741220704E-2</v>
      </c>
      <c r="AF324" s="1074">
        <f t="shared" si="121"/>
        <v>4.7477332002399467E-2</v>
      </c>
      <c r="AG324" s="1074">
        <f t="shared" si="122"/>
        <v>7.7240530743620167E-2</v>
      </c>
      <c r="AH324" s="1015">
        <f t="shared" si="118"/>
        <v>0.38533135977550304</v>
      </c>
      <c r="AI324" s="1075">
        <f t="shared" si="119"/>
        <v>0.61466864022449708</v>
      </c>
    </row>
    <row r="325" spans="1:35" x14ac:dyDescent="0.2">
      <c r="A325" s="201">
        <v>2046</v>
      </c>
      <c r="B325" s="214">
        <v>0</v>
      </c>
      <c r="C325" s="215">
        <v>6.149537105292812E-2</v>
      </c>
      <c r="D325" s="215">
        <v>0.14096741671701041</v>
      </c>
      <c r="E325" s="215">
        <v>0.19128409808026503</v>
      </c>
      <c r="F325" s="215">
        <v>0.2039373301138733</v>
      </c>
      <c r="G325" s="215">
        <v>0.21064182897077469</v>
      </c>
      <c r="H325" s="215">
        <v>0.21502059464747919</v>
      </c>
      <c r="I325" s="215">
        <v>0.21714064863100735</v>
      </c>
      <c r="J325" s="215">
        <v>0.21882761967875985</v>
      </c>
      <c r="K325" s="215">
        <v>0.22005696453711324</v>
      </c>
      <c r="L325" s="251">
        <v>0.22005696453711324</v>
      </c>
      <c r="M325" s="154">
        <f t="shared" si="113"/>
        <v>3.8869945883653716E-2</v>
      </c>
      <c r="N325" s="156">
        <f t="shared" si="114"/>
        <v>2.1334683309094625E-2</v>
      </c>
      <c r="O325" s="214">
        <v>0</v>
      </c>
      <c r="P325" s="215">
        <v>7.7657593796630134E-2</v>
      </c>
      <c r="Q325" s="215">
        <v>0.14985401978625029</v>
      </c>
      <c r="R325" s="215">
        <v>0.19439254302984829</v>
      </c>
      <c r="S325" s="215">
        <v>0.20629065461788471</v>
      </c>
      <c r="T325" s="215">
        <v>0.21249198261570057</v>
      </c>
      <c r="U325" s="215">
        <v>0.21714064863100735</v>
      </c>
      <c r="V325" s="215">
        <v>0.21882761967875985</v>
      </c>
      <c r="W325" s="215">
        <v>0.22005696453711324</v>
      </c>
      <c r="X325" s="215">
        <v>0.22005696453711324</v>
      </c>
      <c r="Y325" s="251">
        <v>0.22062004798523485</v>
      </c>
      <c r="Z325" s="154">
        <f t="shared" si="115"/>
        <v>6.0676469892040626E-2</v>
      </c>
      <c r="AA325" s="156">
        <f t="shared" si="116"/>
        <v>3.4792673520745443E-2</v>
      </c>
      <c r="AB325" s="795">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0.6766961800949356</v>
      </c>
      <c r="AC325" s="796">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0.67685221485315039</v>
      </c>
      <c r="AD325" s="1069">
        <f t="shared" si="123"/>
        <v>0.67679128787189735</v>
      </c>
      <c r="AE325" s="1073">
        <f t="shared" si="120"/>
        <v>3.8869945883653716E-2</v>
      </c>
      <c r="AF325" s="1074">
        <f t="shared" si="121"/>
        <v>6.0676469892040626E-2</v>
      </c>
      <c r="AG325" s="1074">
        <f t="shared" si="122"/>
        <v>9.9546415775694341E-2</v>
      </c>
      <c r="AH325" s="1015">
        <f t="shared" si="118"/>
        <v>0.39047057175055377</v>
      </c>
      <c r="AI325" s="1075">
        <f t="shared" si="119"/>
        <v>0.60952942824944623</v>
      </c>
    </row>
    <row r="326" spans="1:35" x14ac:dyDescent="0.2">
      <c r="A326" s="202">
        <v>2047</v>
      </c>
      <c r="B326" s="216">
        <v>0</v>
      </c>
      <c r="C326" s="217">
        <v>9.586224129560203E-2</v>
      </c>
      <c r="D326" s="217">
        <v>0.15313651070569029</v>
      </c>
      <c r="E326" s="217">
        <v>0.20284166709445969</v>
      </c>
      <c r="F326" s="217">
        <v>0.21050285331641469</v>
      </c>
      <c r="G326" s="217">
        <v>0.2167447762089583</v>
      </c>
      <c r="H326" s="217">
        <v>0.22142517185280333</v>
      </c>
      <c r="I326" s="217">
        <v>0.22312573717780715</v>
      </c>
      <c r="J326" s="217">
        <v>0.22436818680564574</v>
      </c>
      <c r="K326" s="217">
        <v>0.22493915206811102</v>
      </c>
      <c r="L326" s="252">
        <v>0.22493915206811102</v>
      </c>
      <c r="M326" s="168">
        <f t="shared" si="113"/>
        <v>4.5904375049874331E-2</v>
      </c>
      <c r="N326" s="170">
        <f t="shared" si="114"/>
        <v>2.7083995252271491E-2</v>
      </c>
      <c r="O326" s="216">
        <v>0</v>
      </c>
      <c r="P326" s="217">
        <v>0.10674571275307099</v>
      </c>
      <c r="Q326" s="217">
        <v>0.16002842023891392</v>
      </c>
      <c r="R326" s="217">
        <v>0.20684145172810758</v>
      </c>
      <c r="S326" s="217">
        <v>0.21380959465857347</v>
      </c>
      <c r="T326" s="217">
        <v>0.2192901578256008</v>
      </c>
      <c r="U326" s="217">
        <v>0.22312573717780715</v>
      </c>
      <c r="V326" s="217">
        <v>0.22436818680564574</v>
      </c>
      <c r="W326" s="217">
        <v>0.22436818680564574</v>
      </c>
      <c r="X326" s="217">
        <v>0.22493915206811102</v>
      </c>
      <c r="Y326" s="252">
        <v>0.22493915206811102</v>
      </c>
      <c r="Z326" s="168">
        <f t="shared" si="115"/>
        <v>7.0574575391915167E-2</v>
      </c>
      <c r="AA326" s="170">
        <f t="shared" si="116"/>
        <v>4.3104943244287409E-2</v>
      </c>
      <c r="AB326" s="795">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0.71622178614693344</v>
      </c>
      <c r="AC326" s="796">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0.71304502382907353</v>
      </c>
      <c r="AD326" s="1069">
        <f t="shared" si="123"/>
        <v>0.71429698642257433</v>
      </c>
      <c r="AE326" s="1073">
        <f t="shared" si="120"/>
        <v>4.5904375049874331E-2</v>
      </c>
      <c r="AF326" s="1074">
        <f t="shared" si="121"/>
        <v>7.0574575391915167E-2</v>
      </c>
      <c r="AG326" s="1074">
        <f t="shared" si="122"/>
        <v>0.11647895044178949</v>
      </c>
      <c r="AH326" s="1015">
        <f t="shared" si="118"/>
        <v>0.3941001775493771</v>
      </c>
      <c r="AI326" s="1075">
        <f t="shared" si="119"/>
        <v>0.60589982245062302</v>
      </c>
    </row>
    <row r="327" spans="1:35" x14ac:dyDescent="0.2">
      <c r="A327" s="202">
        <v>2048</v>
      </c>
      <c r="B327" s="216">
        <v>1.7915091150386288E-4</v>
      </c>
      <c r="C327" s="217">
        <v>0.11134224217711537</v>
      </c>
      <c r="D327" s="217">
        <v>0.1588830998304876</v>
      </c>
      <c r="E327" s="217">
        <v>0.20978106216506287</v>
      </c>
      <c r="F327" s="217">
        <v>0.21579805695083329</v>
      </c>
      <c r="G327" s="217">
        <v>0.22228468102144261</v>
      </c>
      <c r="H327" s="217">
        <v>0.22613953973733433</v>
      </c>
      <c r="I327" s="217">
        <v>0.2273909721183065</v>
      </c>
      <c r="J327" s="217">
        <v>0.22796738470704001</v>
      </c>
      <c r="K327" s="217">
        <v>0.22796738470704001</v>
      </c>
      <c r="L327" s="252">
        <v>0.22796738470704001</v>
      </c>
      <c r="M327" s="168">
        <f t="shared" si="113"/>
        <v>4.9269136453055043E-2</v>
      </c>
      <c r="N327" s="170">
        <f t="shared" si="114"/>
        <v>2.9768625647500466E-2</v>
      </c>
      <c r="O327" s="216">
        <v>1.7915091150386288E-4</v>
      </c>
      <c r="P327" s="217">
        <v>0.12271522450871836</v>
      </c>
      <c r="Q327" s="217">
        <v>0.16601902223714324</v>
      </c>
      <c r="R327" s="217">
        <v>0.21345898344946218</v>
      </c>
      <c r="S327" s="217">
        <v>0.21890663806524435</v>
      </c>
      <c r="T327" s="217">
        <v>0.2244297620285656</v>
      </c>
      <c r="U327" s="217">
        <v>0.22613953973733433</v>
      </c>
      <c r="V327" s="217">
        <v>0.2273909721183065</v>
      </c>
      <c r="W327" s="217">
        <v>0.22796738470704001</v>
      </c>
      <c r="X327" s="217">
        <v>0.22796738470704001</v>
      </c>
      <c r="Y327" s="252">
        <v>0.22796738470704001</v>
      </c>
      <c r="Z327" s="168">
        <f t="shared" si="115"/>
        <v>7.6078877604524212E-2</v>
      </c>
      <c r="AA327" s="170">
        <f t="shared" si="116"/>
        <v>4.7739279128807974E-2</v>
      </c>
      <c r="AB327" s="795">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0.73098749297666366</v>
      </c>
      <c r="AC327" s="796">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0.72970730499490177</v>
      </c>
      <c r="AD327" s="1069">
        <f t="shared" si="123"/>
        <v>0.73021049411068639</v>
      </c>
      <c r="AE327" s="1073">
        <f t="shared" si="120"/>
        <v>4.9269136453055043E-2</v>
      </c>
      <c r="AF327" s="1074">
        <f t="shared" si="121"/>
        <v>7.6078877604524212E-2</v>
      </c>
      <c r="AG327" s="1074">
        <f t="shared" si="122"/>
        <v>0.12534801405757925</v>
      </c>
      <c r="AH327" s="1015">
        <f t="shared" si="118"/>
        <v>0.39305877180011017</v>
      </c>
      <c r="AI327" s="1075">
        <f t="shared" si="119"/>
        <v>0.60694122819988983</v>
      </c>
    </row>
    <row r="328" spans="1:35" x14ac:dyDescent="0.2">
      <c r="A328" s="202">
        <v>2049</v>
      </c>
      <c r="B328" s="216">
        <v>6.3565640467830504E-4</v>
      </c>
      <c r="C328" s="217">
        <v>0.11936380358273983</v>
      </c>
      <c r="D328" s="217">
        <v>0.16104301707655883</v>
      </c>
      <c r="E328" s="217">
        <v>0.21550096661286247</v>
      </c>
      <c r="F328" s="217">
        <v>0.22095187701975855</v>
      </c>
      <c r="G328" s="217">
        <v>0.22650431804150375</v>
      </c>
      <c r="H328" s="217">
        <v>0.22947786924373587</v>
      </c>
      <c r="I328" s="217">
        <v>0.22947786924373587</v>
      </c>
      <c r="J328" s="217">
        <v>0.23005800356125733</v>
      </c>
      <c r="K328" s="217">
        <v>0.23005800356125733</v>
      </c>
      <c r="L328" s="252">
        <v>0.23005800356125733</v>
      </c>
      <c r="M328" s="168">
        <f t="shared" si="113"/>
        <v>5.1129790964956873E-2</v>
      </c>
      <c r="N328" s="170">
        <f t="shared" si="114"/>
        <v>3.1234246406363374E-2</v>
      </c>
      <c r="O328" s="216">
        <v>6.485338806720744E-4</v>
      </c>
      <c r="P328" s="217">
        <v>0.12986013703246624</v>
      </c>
      <c r="Q328" s="217">
        <v>0.16781315911172209</v>
      </c>
      <c r="R328" s="217">
        <v>0.21883186878783975</v>
      </c>
      <c r="S328" s="217">
        <v>0.22435245457503289</v>
      </c>
      <c r="T328" s="217">
        <v>0.22606668674515579</v>
      </c>
      <c r="U328" s="217">
        <v>0.22947786924373587</v>
      </c>
      <c r="V328" s="217">
        <v>0.23005800356125733</v>
      </c>
      <c r="W328" s="217">
        <v>0.23005800356125733</v>
      </c>
      <c r="X328" s="217">
        <v>0.23005800356125733</v>
      </c>
      <c r="Y328" s="252">
        <v>0.23005800356125733</v>
      </c>
      <c r="Z328" s="168">
        <f t="shared" si="115"/>
        <v>7.8772453096121478E-2</v>
      </c>
      <c r="AA328" s="170">
        <f t="shared" si="116"/>
        <v>4.996101973872117E-2</v>
      </c>
      <c r="AB328" s="795">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0.73785169844353715</v>
      </c>
      <c r="AC328" s="796">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0.73626783142788221</v>
      </c>
      <c r="AD328" s="1069">
        <f t="shared" si="123"/>
        <v>0.7368912447492767</v>
      </c>
      <c r="AE328" s="1073">
        <f t="shared" si="120"/>
        <v>5.1129790964956873E-2</v>
      </c>
      <c r="AF328" s="1074">
        <f t="shared" si="121"/>
        <v>7.8772453096121478E-2</v>
      </c>
      <c r="AG328" s="1074">
        <f t="shared" si="122"/>
        <v>0.12990224406107836</v>
      </c>
      <c r="AH328" s="1015">
        <f t="shared" si="118"/>
        <v>0.39360206079978344</v>
      </c>
      <c r="AI328" s="1075">
        <f t="shared" si="119"/>
        <v>0.60639793920021645</v>
      </c>
    </row>
    <row r="329" spans="1:35" ht="13.5" thickBot="1" x14ac:dyDescent="0.25">
      <c r="A329" s="200">
        <v>2050</v>
      </c>
      <c r="B329" s="218">
        <v>4.9081230954553723E-3</v>
      </c>
      <c r="C329" s="219">
        <v>0.13241759131305711</v>
      </c>
      <c r="D329" s="219">
        <v>0.16981122796231299</v>
      </c>
      <c r="E329" s="219">
        <v>0.2251622954665054</v>
      </c>
      <c r="F329" s="219">
        <v>0.23077409340904989</v>
      </c>
      <c r="G329" s="219">
        <v>0.23250261524416724</v>
      </c>
      <c r="H329" s="219">
        <v>0.23436019972845282</v>
      </c>
      <c r="I329" s="219">
        <v>0.23436019972845282</v>
      </c>
      <c r="J329" s="219">
        <v>0.23436019972845282</v>
      </c>
      <c r="K329" s="219">
        <v>0.23436019972845282</v>
      </c>
      <c r="L329" s="253">
        <v>0.23436019972845282</v>
      </c>
      <c r="M329" s="182">
        <f t="shared" si="113"/>
        <v>5.4928972345331485E-2</v>
      </c>
      <c r="N329" s="184">
        <f t="shared" si="114"/>
        <v>3.4482733780149412E-2</v>
      </c>
      <c r="O329" s="218">
        <v>4.3089985407007781E-3</v>
      </c>
      <c r="P329" s="219">
        <v>0.14374409182733286</v>
      </c>
      <c r="Q329" s="219">
        <v>0.1728576328756129</v>
      </c>
      <c r="R329" s="219">
        <v>0.22860865870314023</v>
      </c>
      <c r="S329" s="219">
        <v>0.23032062511364615</v>
      </c>
      <c r="T329" s="219">
        <v>0.23377251048912354</v>
      </c>
      <c r="U329" s="219">
        <v>0.23436019972845282</v>
      </c>
      <c r="V329" s="219">
        <v>0.23436019972845282</v>
      </c>
      <c r="W329" s="219">
        <v>0.23436019972845282</v>
      </c>
      <c r="X329" s="219">
        <v>0.23436019972845282</v>
      </c>
      <c r="Y329" s="253">
        <v>0.23436019972845282</v>
      </c>
      <c r="Z329" s="182">
        <f t="shared" si="115"/>
        <v>8.4332628092759168E-2</v>
      </c>
      <c r="AA329" s="184">
        <f t="shared" si="116"/>
        <v>5.5064866904332141E-2</v>
      </c>
      <c r="AB329" s="797">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0.75104548482431366</v>
      </c>
      <c r="AC329" s="798">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0.74993484248920272</v>
      </c>
      <c r="AD329" s="1070">
        <f t="shared" si="123"/>
        <v>0.75037291329923894</v>
      </c>
      <c r="AE329" s="1076">
        <f t="shared" si="120"/>
        <v>5.4928972345331485E-2</v>
      </c>
      <c r="AF329" s="1077">
        <f t="shared" si="121"/>
        <v>8.4332628092759168E-2</v>
      </c>
      <c r="AG329" s="1077">
        <f t="shared" si="122"/>
        <v>0.13926160043809066</v>
      </c>
      <c r="AH329" s="1078">
        <f t="shared" si="118"/>
        <v>0.39443013847704839</v>
      </c>
      <c r="AI329" s="1079">
        <f t="shared" si="119"/>
        <v>0.60556986152295156</v>
      </c>
    </row>
    <row r="330" spans="1:35" x14ac:dyDescent="0.2">
      <c r="B330" s="99" t="s">
        <v>240</v>
      </c>
      <c r="U330" s="99"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9" activePane="bottomLeft" state="frozen"/>
      <selection pane="bottomLeft" activeCell="F47" sqref="F47"/>
    </sheetView>
  </sheetViews>
  <sheetFormatPr defaultColWidth="9.140625" defaultRowHeight="12.75" x14ac:dyDescent="0.2"/>
  <cols>
    <col min="1" max="1" width="9.140625" style="269"/>
    <col min="2" max="2" width="13.28515625" style="269" customWidth="1"/>
    <col min="3" max="7" width="10.42578125" style="269" customWidth="1"/>
    <col min="8" max="8" width="13.85546875" style="269" customWidth="1"/>
    <col min="9" max="13" width="10.42578125" style="269" customWidth="1"/>
    <col min="14" max="14" width="13.28515625" style="269" customWidth="1"/>
    <col min="15" max="15" width="11.28515625" style="269" bestFit="1" customWidth="1"/>
    <col min="16" max="17" width="9.140625" style="269"/>
    <col min="18" max="18" width="10.42578125" style="269" customWidth="1"/>
    <col min="19" max="20" width="9.140625" style="269"/>
    <col min="21" max="21" width="11.7109375" style="269" customWidth="1"/>
    <col min="22" max="25" width="9.140625" style="269"/>
    <col min="26" max="26" width="9.42578125" style="269" customWidth="1"/>
    <col min="27" max="16384" width="9.140625" style="269"/>
  </cols>
  <sheetData>
    <row r="1" spans="1:26" x14ac:dyDescent="0.2">
      <c r="A1" s="708" t="s">
        <v>261</v>
      </c>
    </row>
    <row r="3" spans="1:26" ht="19.5" thickBot="1" x14ac:dyDescent="0.35">
      <c r="A3" s="1570" t="s">
        <v>128</v>
      </c>
      <c r="B3" s="1571"/>
      <c r="C3" s="1571"/>
      <c r="D3" s="1571"/>
      <c r="E3" s="1571"/>
      <c r="F3" s="1571"/>
      <c r="G3" s="1571"/>
      <c r="H3" s="1571"/>
      <c r="I3" s="1571"/>
      <c r="J3" s="1571"/>
      <c r="K3" s="1571"/>
      <c r="L3" s="1571"/>
      <c r="M3" s="1571"/>
      <c r="N3" s="1571"/>
      <c r="O3" s="1571"/>
      <c r="P3" s="1571"/>
      <c r="Q3" s="1571"/>
      <c r="R3" s="1571"/>
      <c r="S3" s="1571"/>
      <c r="T3" s="1571"/>
      <c r="U3" s="1571"/>
    </row>
    <row r="4" spans="1:26" ht="15" x14ac:dyDescent="0.25">
      <c r="A4" s="272"/>
      <c r="B4" s="1572" t="s">
        <v>249</v>
      </c>
      <c r="C4" s="1573"/>
      <c r="D4" s="1573"/>
      <c r="E4" s="1573"/>
      <c r="F4" s="1573"/>
      <c r="G4" s="1574"/>
      <c r="H4" s="1572" t="s">
        <v>250</v>
      </c>
      <c r="I4" s="1573"/>
      <c r="J4" s="1573"/>
      <c r="K4" s="1573"/>
      <c r="L4" s="1573"/>
      <c r="M4" s="1574"/>
      <c r="N4" s="1572" t="s">
        <v>154</v>
      </c>
      <c r="O4" s="1573"/>
      <c r="P4" s="1573"/>
      <c r="Q4" s="1573"/>
      <c r="R4" s="1573"/>
      <c r="S4" s="1574"/>
      <c r="T4" s="1580" t="s">
        <v>153</v>
      </c>
      <c r="U4" s="1581"/>
    </row>
    <row r="5" spans="1:26" ht="15" x14ac:dyDescent="0.25">
      <c r="A5" s="273"/>
      <c r="B5" s="1575" t="s">
        <v>129</v>
      </c>
      <c r="C5" s="1576"/>
      <c r="D5" s="1576"/>
      <c r="E5" s="1576"/>
      <c r="F5" s="1576"/>
      <c r="G5" s="1577"/>
      <c r="H5" s="1575" t="s">
        <v>129</v>
      </c>
      <c r="I5" s="1576"/>
      <c r="J5" s="1576"/>
      <c r="K5" s="1576"/>
      <c r="L5" s="1576"/>
      <c r="M5" s="1577"/>
      <c r="N5" s="1575" t="s">
        <v>129</v>
      </c>
      <c r="O5" s="1576"/>
      <c r="P5" s="1576"/>
      <c r="Q5" s="1576"/>
      <c r="R5" s="1576"/>
      <c r="S5" s="1577"/>
      <c r="T5" s="1578" t="s">
        <v>129</v>
      </c>
      <c r="U5" s="1579"/>
    </row>
    <row r="6" spans="1:26" ht="15" x14ac:dyDescent="0.25">
      <c r="A6" s="273"/>
      <c r="B6" s="943" t="s">
        <v>69</v>
      </c>
      <c r="C6" s="944" t="s">
        <v>65</v>
      </c>
      <c r="D6" s="944" t="s">
        <v>66</v>
      </c>
      <c r="E6" s="944" t="s">
        <v>67</v>
      </c>
      <c r="F6" s="944" t="s">
        <v>205</v>
      </c>
      <c r="G6" s="945" t="s">
        <v>206</v>
      </c>
      <c r="H6" s="943" t="s">
        <v>69</v>
      </c>
      <c r="I6" s="944" t="s">
        <v>65</v>
      </c>
      <c r="J6" s="944" t="s">
        <v>66</v>
      </c>
      <c r="K6" s="944" t="s">
        <v>67</v>
      </c>
      <c r="L6" s="944" t="s">
        <v>205</v>
      </c>
      <c r="M6" s="945" t="s">
        <v>206</v>
      </c>
      <c r="N6" s="943" t="s">
        <v>69</v>
      </c>
      <c r="O6" s="944" t="s">
        <v>65</v>
      </c>
      <c r="P6" s="944" t="s">
        <v>66</v>
      </c>
      <c r="Q6" s="944" t="s">
        <v>67</v>
      </c>
      <c r="R6" s="944" t="s">
        <v>205</v>
      </c>
      <c r="S6" s="945" t="s">
        <v>206</v>
      </c>
      <c r="T6" s="496"/>
      <c r="U6" s="497"/>
      <c r="V6" s="269" t="s">
        <v>354</v>
      </c>
    </row>
    <row r="7" spans="1:26" s="695" customFormat="1" ht="30" x14ac:dyDescent="0.2">
      <c r="A7" s="689"/>
      <c r="B7" s="946" t="str">
        <f t="shared" ref="B7:G7" si="0">INDEX(TECH_OPT_DESC_Cls1,MATCH(B6,TECH_OPT_ROWS_Cls1,0))</f>
        <v>Conventional Diesel ICE</v>
      </c>
      <c r="C7" s="947" t="str">
        <f t="shared" si="0"/>
        <v>Adv Conv</v>
      </c>
      <c r="D7" s="947" t="str">
        <f t="shared" si="0"/>
        <v>HEV</v>
      </c>
      <c r="E7" s="947" t="str">
        <f t="shared" si="0"/>
        <v>BEV</v>
      </c>
      <c r="F7" s="947" t="str">
        <f t="shared" si="0"/>
        <v>FCEV</v>
      </c>
      <c r="G7" s="948" t="str">
        <f t="shared" si="0"/>
        <v>PHEV</v>
      </c>
      <c r="H7" s="946" t="str">
        <f t="shared" ref="H7:M7" si="1">INDEX(TECH_OPT_DESC_Cls2,MATCH(H6,TECH_OPT_ROWS_Cls2,0))</f>
        <v>Conventional Diesel ICE</v>
      </c>
      <c r="I7" s="947" t="str">
        <f t="shared" si="1"/>
        <v>Adv Conv</v>
      </c>
      <c r="J7" s="947" t="str">
        <f t="shared" si="1"/>
        <v>HEV</v>
      </c>
      <c r="K7" s="947" t="str">
        <f t="shared" si="1"/>
        <v>BEV</v>
      </c>
      <c r="L7" s="947" t="str">
        <f t="shared" si="1"/>
        <v>FCEV</v>
      </c>
      <c r="M7" s="948" t="str">
        <f t="shared" si="1"/>
        <v>PHEV</v>
      </c>
      <c r="N7" s="946" t="str">
        <f t="shared" ref="N7:S7" si="2">INDEX(TECH_OPT_DESC_Cls3,MATCH(N6,TECH_OPT_ROWS_Cls3,0))</f>
        <v>Conventional Diesel ICE</v>
      </c>
      <c r="O7" s="947" t="str">
        <f t="shared" si="2"/>
        <v>Adv Conv</v>
      </c>
      <c r="P7" s="947" t="str">
        <f t="shared" si="2"/>
        <v>HEV</v>
      </c>
      <c r="Q7" s="947" t="str">
        <f t="shared" si="2"/>
        <v>BEV</v>
      </c>
      <c r="R7" s="947" t="str">
        <f t="shared" si="2"/>
        <v>FCEV</v>
      </c>
      <c r="S7" s="948" t="str">
        <f t="shared" si="2"/>
        <v>PHEV</v>
      </c>
      <c r="T7" s="693" t="s">
        <v>70</v>
      </c>
      <c r="U7" s="694" t="s">
        <v>138</v>
      </c>
      <c r="V7" s="695" t="s">
        <v>318</v>
      </c>
      <c r="W7" s="695" t="s">
        <v>319</v>
      </c>
      <c r="X7" s="695" t="s">
        <v>321</v>
      </c>
      <c r="Y7" s="695" t="s">
        <v>320</v>
      </c>
      <c r="Z7" s="695" t="s">
        <v>353</v>
      </c>
    </row>
    <row r="8" spans="1:26" ht="30.75" thickBot="1" x14ac:dyDescent="0.3">
      <c r="A8" s="277" t="s">
        <v>3</v>
      </c>
      <c r="B8" s="949" t="str">
        <f t="shared" ref="B8:G8" si="3">INDEX(TECH_OPT_FUEL1_Cls1,MATCH(B6,TECH_OPT_ROWS_Cls1,0))</f>
        <v>Diesel</v>
      </c>
      <c r="C8" s="950" t="str">
        <f t="shared" si="3"/>
        <v>Diesel</v>
      </c>
      <c r="D8" s="950" t="str">
        <f t="shared" si="3"/>
        <v>Diesel</v>
      </c>
      <c r="E8" s="950" t="str">
        <f t="shared" si="3"/>
        <v>Electricity</v>
      </c>
      <c r="F8" s="950" t="str">
        <f t="shared" si="3"/>
        <v>Hydrogen</v>
      </c>
      <c r="G8" s="951" t="str">
        <f t="shared" si="3"/>
        <v>Diesel</v>
      </c>
      <c r="H8" s="952" t="str">
        <f t="shared" ref="H8:M8" si="4">INDEX(TECH_OPT_FUEL1_Cls2,MATCH(H6,TECH_OPT_ROWS_Cls2,0))</f>
        <v>Diesel</v>
      </c>
      <c r="I8" s="950" t="str">
        <f t="shared" si="4"/>
        <v>Diesel</v>
      </c>
      <c r="J8" s="950" t="str">
        <f t="shared" si="4"/>
        <v>Diesel</v>
      </c>
      <c r="K8" s="950" t="str">
        <f t="shared" si="4"/>
        <v>Electricity</v>
      </c>
      <c r="L8" s="950" t="str">
        <f t="shared" si="4"/>
        <v>Hydrogen</v>
      </c>
      <c r="M8" s="951" t="str">
        <f t="shared" si="4"/>
        <v>Diesel</v>
      </c>
      <c r="N8" s="949" t="str">
        <f t="shared" ref="N8:S8" si="5">INDEX(TECH_OPT_FUEL1_Cls3,MATCH(N6,TECH_OPT_ROWS_Cls3,0))</f>
        <v>Diesel</v>
      </c>
      <c r="O8" s="950" t="str">
        <f t="shared" si="5"/>
        <v>Diesel</v>
      </c>
      <c r="P8" s="950" t="str">
        <f t="shared" si="5"/>
        <v>Diesel</v>
      </c>
      <c r="Q8" s="950" t="str">
        <f t="shared" si="5"/>
        <v>Electricity</v>
      </c>
      <c r="R8" s="950" t="str">
        <f t="shared" si="5"/>
        <v>Hydrogen</v>
      </c>
      <c r="S8" s="951" t="str">
        <f t="shared" si="5"/>
        <v>Diesel</v>
      </c>
      <c r="T8" s="513"/>
      <c r="U8" s="283"/>
    </row>
    <row r="9" spans="1:26" ht="15.75" thickTop="1" x14ac:dyDescent="0.25">
      <c r="A9" s="275">
        <v>2007</v>
      </c>
      <c r="B9" s="519">
        <f>1-SUM(C9:G9)</f>
        <v>1</v>
      </c>
      <c r="C9" s="520">
        <f>'7&amp;8 Sleep'!$N76+'7&amp;8 Sleep'!$AA76</f>
        <v>0</v>
      </c>
      <c r="D9" s="520">
        <f>'7&amp;8 Sleep'!$N128+'7&amp;8 Sleep'!$AA128</f>
        <v>0</v>
      </c>
      <c r="E9" s="520">
        <f>'7&amp;8 Sleep'!$N180+'7&amp;8 Sleep'!$AA180</f>
        <v>0</v>
      </c>
      <c r="F9" s="520">
        <f>'7&amp;8 Sleep'!$N233+'7&amp;8 Sleep'!$AA233</f>
        <v>0</v>
      </c>
      <c r="G9" s="521">
        <f>'7&amp;8 Sleep'!$N286+'7&amp;8 Sleep'!$AA286</f>
        <v>0</v>
      </c>
      <c r="H9" s="504">
        <f>1-SUM(I9:M9)</f>
        <v>1</v>
      </c>
      <c r="I9" s="504">
        <f>'7&amp;8 Day'!$N76+'7&amp;8 Day'!$AA76</f>
        <v>0</v>
      </c>
      <c r="J9" s="504">
        <f>'7&amp;8 Day'!$N128+'7&amp;8 Day'!$AA128</f>
        <v>0</v>
      </c>
      <c r="K9" s="504">
        <f>'7&amp;8 Day'!$N180+'7&amp;8 Day'!$AA180</f>
        <v>0</v>
      </c>
      <c r="L9" s="504">
        <f>'7&amp;8 Day'!$N233+'7&amp;8 Day'!$AA233</f>
        <v>0</v>
      </c>
      <c r="M9" s="504">
        <f>'7&amp;8 Day'!$N286+'7&amp;8 Day'!$AA286</f>
        <v>0</v>
      </c>
      <c r="N9" s="519">
        <f>1-SUM(O9:S9)</f>
        <v>1</v>
      </c>
      <c r="O9" s="520">
        <f>'7&amp;8 SU'!$N76+'7&amp;8 SU'!$AA76</f>
        <v>0</v>
      </c>
      <c r="P9" s="520">
        <f>'7&amp;8 SU'!$N128+'7&amp;8 SU'!$AA128</f>
        <v>0</v>
      </c>
      <c r="Q9" s="520">
        <f>'7&amp;8 SU'!$N180+'7&amp;8 SU'!$AA180</f>
        <v>0</v>
      </c>
      <c r="R9" s="520">
        <f>'7&amp;8 SU'!$N233+'7&amp;8 SU'!$AA233</f>
        <v>0</v>
      </c>
      <c r="S9" s="521">
        <f>'7&amp;8 SU'!$N286+'7&amp;8 SU'!$AA286</f>
        <v>0</v>
      </c>
      <c r="T9" s="511">
        <f>B9*'Market Data'!$C$52+H9*'Market Data'!$M$52+N9*'Market Data'!$W$52</f>
        <v>1</v>
      </c>
      <c r="U9" s="297">
        <f>SUM(C9:G9)*'Market Data'!$C$52+SUM(I9:M9)*'Market Data'!$M$52+SUM(O9:S9)*'Market Data'!$W$52</f>
        <v>0</v>
      </c>
      <c r="X9" s="74"/>
    </row>
    <row r="10" spans="1:26" ht="15" x14ac:dyDescent="0.25">
      <c r="A10" s="275">
        <v>2008</v>
      </c>
      <c r="B10" s="522">
        <f t="shared" ref="B10:B52" si="6">1-SUM(C10:G10)</f>
        <v>1</v>
      </c>
      <c r="C10" s="523">
        <f>'7&amp;8 Sleep'!$N77+'7&amp;8 Sleep'!$AA77</f>
        <v>0</v>
      </c>
      <c r="D10" s="523">
        <f>'7&amp;8 Sleep'!$N129+'7&amp;8 Sleep'!$AA129</f>
        <v>0</v>
      </c>
      <c r="E10" s="523">
        <f>'7&amp;8 Sleep'!$N181+'7&amp;8 Sleep'!$AA181</f>
        <v>0</v>
      </c>
      <c r="F10" s="523">
        <f>'7&amp;8 Sleep'!$N234+'7&amp;8 Sleep'!$AA234</f>
        <v>0</v>
      </c>
      <c r="G10" s="524">
        <f>'7&amp;8 Sleep'!$N287+'7&amp;8 Sleep'!$AA287</f>
        <v>0</v>
      </c>
      <c r="H10" s="505">
        <f t="shared" ref="H10:H52" si="7">1-SUM(I10:M10)</f>
        <v>1</v>
      </c>
      <c r="I10" s="505">
        <f>'7&amp;8 Day'!$N77+'7&amp;8 Day'!$AA77</f>
        <v>0</v>
      </c>
      <c r="J10" s="505">
        <f>'7&amp;8 Day'!$N129+'7&amp;8 Day'!$AA129</f>
        <v>0</v>
      </c>
      <c r="K10" s="505">
        <f>'7&amp;8 Day'!$N181+'7&amp;8 Day'!$AA181</f>
        <v>0</v>
      </c>
      <c r="L10" s="505">
        <f>'7&amp;8 Day'!$N234+'7&amp;8 Day'!$AA234</f>
        <v>0</v>
      </c>
      <c r="M10" s="505">
        <f>'7&amp;8 Day'!$N287+'7&amp;8 Day'!$AA287</f>
        <v>0</v>
      </c>
      <c r="N10" s="522">
        <f t="shared" ref="N10:N52" si="8">1-SUM(O10:S10)</f>
        <v>1</v>
      </c>
      <c r="O10" s="523">
        <f>'7&amp;8 SU'!$N77+'7&amp;8 SU'!$AA77</f>
        <v>0</v>
      </c>
      <c r="P10" s="523">
        <f>'7&amp;8 SU'!$N129+'7&amp;8 SU'!$AA129</f>
        <v>0</v>
      </c>
      <c r="Q10" s="523">
        <f>'7&amp;8 SU'!$N181+'7&amp;8 SU'!$AA181</f>
        <v>0</v>
      </c>
      <c r="R10" s="523">
        <f>'7&amp;8 SU'!$N234+'7&amp;8 SU'!$AA234</f>
        <v>0</v>
      </c>
      <c r="S10" s="524">
        <f>'7&amp;8 SU'!$N287+'7&amp;8 SU'!$AA287</f>
        <v>0</v>
      </c>
      <c r="T10" s="509">
        <f>B10*'Market Data'!$C$52+H10*'Market Data'!$M$52+N10*'Market Data'!$W$52</f>
        <v>1</v>
      </c>
      <c r="U10" s="290">
        <f>SUM(C10:G10)*'Market Data'!$C$52+SUM(I10:M10)*'Market Data'!$M$52+SUM(O10:S10)*'Market Data'!$W$52</f>
        <v>0</v>
      </c>
      <c r="X10" s="74"/>
    </row>
    <row r="11" spans="1:26" ht="15" x14ac:dyDescent="0.25">
      <c r="A11" s="275">
        <v>2009</v>
      </c>
      <c r="B11" s="522">
        <f t="shared" si="6"/>
        <v>1</v>
      </c>
      <c r="C11" s="523">
        <f>'7&amp;8 Sleep'!$N78+'7&amp;8 Sleep'!$AA78</f>
        <v>0</v>
      </c>
      <c r="D11" s="523">
        <f>'7&amp;8 Sleep'!$N130+'7&amp;8 Sleep'!$AA130</f>
        <v>0</v>
      </c>
      <c r="E11" s="523">
        <f>'7&amp;8 Sleep'!$N182+'7&amp;8 Sleep'!$AA182</f>
        <v>0</v>
      </c>
      <c r="F11" s="523">
        <f>'7&amp;8 Sleep'!$N235+'7&amp;8 Sleep'!$AA235</f>
        <v>0</v>
      </c>
      <c r="G11" s="524">
        <f>'7&amp;8 Sleep'!$N288+'7&amp;8 Sleep'!$AA288</f>
        <v>0</v>
      </c>
      <c r="H11" s="505">
        <f t="shared" si="7"/>
        <v>1</v>
      </c>
      <c r="I11" s="505">
        <f>'7&amp;8 Day'!$N78+'7&amp;8 Day'!$AA78</f>
        <v>0</v>
      </c>
      <c r="J11" s="505">
        <f>'7&amp;8 Day'!$N130+'7&amp;8 Day'!$AA130</f>
        <v>0</v>
      </c>
      <c r="K11" s="505">
        <f>'7&amp;8 Day'!$N182+'7&amp;8 Day'!$AA182</f>
        <v>0</v>
      </c>
      <c r="L11" s="505">
        <f>'7&amp;8 Day'!$N235+'7&amp;8 Day'!$AA235</f>
        <v>0</v>
      </c>
      <c r="M11" s="505">
        <f>'7&amp;8 Day'!$N288+'7&amp;8 Day'!$AA288</f>
        <v>0</v>
      </c>
      <c r="N11" s="522">
        <f t="shared" si="8"/>
        <v>1</v>
      </c>
      <c r="O11" s="523">
        <f>'7&amp;8 SU'!$N78+'7&amp;8 SU'!$AA78</f>
        <v>0</v>
      </c>
      <c r="P11" s="523">
        <f>'7&amp;8 SU'!$N130+'7&amp;8 SU'!$AA130</f>
        <v>0</v>
      </c>
      <c r="Q11" s="523">
        <f>'7&amp;8 SU'!$N182+'7&amp;8 SU'!$AA182</f>
        <v>0</v>
      </c>
      <c r="R11" s="523">
        <f>'7&amp;8 SU'!$N235+'7&amp;8 SU'!$AA235</f>
        <v>0</v>
      </c>
      <c r="S11" s="524">
        <f>'7&amp;8 SU'!$N288+'7&amp;8 SU'!$AA288</f>
        <v>0</v>
      </c>
      <c r="T11" s="509">
        <f>B11*'Market Data'!$C$52+H11*'Market Data'!$M$52+N11*'Market Data'!$W$52</f>
        <v>1</v>
      </c>
      <c r="U11" s="290">
        <f>SUM(C11:G11)*'Market Data'!$C$52+SUM(I11:M11)*'Market Data'!$M$52+SUM(O11:S11)*'Market Data'!$W$52</f>
        <v>0</v>
      </c>
      <c r="X11" s="74"/>
    </row>
    <row r="12" spans="1:26" ht="15" x14ac:dyDescent="0.25">
      <c r="A12" s="274">
        <v>2010</v>
      </c>
      <c r="B12" s="525">
        <f t="shared" si="6"/>
        <v>1</v>
      </c>
      <c r="C12" s="526">
        <f>'7&amp;8 Sleep'!$N79+'7&amp;8 Sleep'!$AA79</f>
        <v>0</v>
      </c>
      <c r="D12" s="526">
        <f>'7&amp;8 Sleep'!$N131+'7&amp;8 Sleep'!$AA131</f>
        <v>0</v>
      </c>
      <c r="E12" s="526">
        <f>'7&amp;8 Sleep'!$N183+'7&amp;8 Sleep'!$AA183</f>
        <v>0</v>
      </c>
      <c r="F12" s="526">
        <f>'7&amp;8 Sleep'!$N236+'7&amp;8 Sleep'!$AA236</f>
        <v>0</v>
      </c>
      <c r="G12" s="527">
        <f>'7&amp;8 Sleep'!$N289+'7&amp;8 Sleep'!$AA289</f>
        <v>0</v>
      </c>
      <c r="H12" s="506">
        <f t="shared" si="7"/>
        <v>1</v>
      </c>
      <c r="I12" s="506">
        <f>'7&amp;8 Day'!$N79+'7&amp;8 Day'!$AA79</f>
        <v>0</v>
      </c>
      <c r="J12" s="506">
        <f>'7&amp;8 Day'!$N131+'7&amp;8 Day'!$AA131</f>
        <v>0</v>
      </c>
      <c r="K12" s="506">
        <f>'7&amp;8 Day'!$N183+'7&amp;8 Day'!$AA183</f>
        <v>0</v>
      </c>
      <c r="L12" s="506">
        <f>'7&amp;8 Day'!$N236+'7&amp;8 Day'!$AA236</f>
        <v>0</v>
      </c>
      <c r="M12" s="506">
        <f>'7&amp;8 Day'!$N289+'7&amp;8 Day'!$AA289</f>
        <v>0</v>
      </c>
      <c r="N12" s="525">
        <f t="shared" si="8"/>
        <v>1</v>
      </c>
      <c r="O12" s="526">
        <f>'7&amp;8 SU'!$N79+'7&amp;8 SU'!$AA79</f>
        <v>0</v>
      </c>
      <c r="P12" s="526">
        <f>'7&amp;8 SU'!$N131+'7&amp;8 SU'!$AA131</f>
        <v>0</v>
      </c>
      <c r="Q12" s="526">
        <f>'7&amp;8 SU'!$N183+'7&amp;8 SU'!$AA183</f>
        <v>0</v>
      </c>
      <c r="R12" s="526">
        <f>'7&amp;8 SU'!$N236+'7&amp;8 SU'!$AA236</f>
        <v>0</v>
      </c>
      <c r="S12" s="527">
        <f>'7&amp;8 SU'!$N289+'7&amp;8 SU'!$AA289</f>
        <v>0</v>
      </c>
      <c r="T12" s="510">
        <f>B12*'Market Data'!$C$52+H12*'Market Data'!$M$52+N12*'Market Data'!$W$52</f>
        <v>1</v>
      </c>
      <c r="U12" s="293">
        <f>SUM(C12:G12)*'Market Data'!$C$52+SUM(I12:M12)*'Market Data'!$M$52+SUM(O12:S12)*'Market Data'!$W$52</f>
        <v>0</v>
      </c>
      <c r="X12" s="74"/>
    </row>
    <row r="13" spans="1:26" ht="15" x14ac:dyDescent="0.25">
      <c r="A13" s="495">
        <v>2011</v>
      </c>
      <c r="B13" s="530">
        <f t="shared" si="6"/>
        <v>1</v>
      </c>
      <c r="C13" s="531">
        <f>'7&amp;8 Sleep'!$N80+'7&amp;8 Sleep'!$AA80</f>
        <v>0</v>
      </c>
      <c r="D13" s="531">
        <f>'7&amp;8 Sleep'!$N132+'7&amp;8 Sleep'!$AA132</f>
        <v>0</v>
      </c>
      <c r="E13" s="531">
        <f>'7&amp;8 Sleep'!$N184+'7&amp;8 Sleep'!$AA184</f>
        <v>0</v>
      </c>
      <c r="F13" s="531">
        <f>'7&amp;8 Sleep'!$N237+'7&amp;8 Sleep'!$AA237</f>
        <v>0</v>
      </c>
      <c r="G13" s="532">
        <f>'7&amp;8 Sleep'!$N290+'7&amp;8 Sleep'!$AA290</f>
        <v>0</v>
      </c>
      <c r="H13" s="507">
        <f t="shared" si="7"/>
        <v>1</v>
      </c>
      <c r="I13" s="507">
        <f>'7&amp;8 Day'!$N80+'7&amp;8 Day'!$AA80</f>
        <v>0</v>
      </c>
      <c r="J13" s="507">
        <f>'7&amp;8 Day'!$N132+'7&amp;8 Day'!$AA132</f>
        <v>0</v>
      </c>
      <c r="K13" s="507">
        <f>'7&amp;8 Day'!$N184+'7&amp;8 Day'!$AA184</f>
        <v>0</v>
      </c>
      <c r="L13" s="507">
        <f>'7&amp;8 Day'!$N237+'7&amp;8 Day'!$AA237</f>
        <v>0</v>
      </c>
      <c r="M13" s="507">
        <f>'7&amp;8 Day'!$N290+'7&amp;8 Day'!$AA290</f>
        <v>0</v>
      </c>
      <c r="N13" s="530">
        <f t="shared" si="8"/>
        <v>1</v>
      </c>
      <c r="O13" s="531">
        <f>'7&amp;8 SU'!$N80+'7&amp;8 SU'!$AA80</f>
        <v>0</v>
      </c>
      <c r="P13" s="531">
        <f>'7&amp;8 SU'!$N132+'7&amp;8 SU'!$AA132</f>
        <v>0</v>
      </c>
      <c r="Q13" s="531">
        <f>'7&amp;8 SU'!$N184+'7&amp;8 SU'!$AA184</f>
        <v>0</v>
      </c>
      <c r="R13" s="531">
        <f>'7&amp;8 SU'!$N237+'7&amp;8 SU'!$AA237</f>
        <v>0</v>
      </c>
      <c r="S13" s="532">
        <f>'7&amp;8 SU'!$N290+'7&amp;8 SU'!$AA290</f>
        <v>0</v>
      </c>
      <c r="T13" s="511">
        <f>B13*'Market Data'!$C$52+H13*'Market Data'!$M$52+N13*'Market Data'!$W$52</f>
        <v>1</v>
      </c>
      <c r="U13" s="297">
        <f>SUM(C13:G13)*'Market Data'!$C$52+SUM(I13:M13)*'Market Data'!$M$52+SUM(O13:S13)*'Market Data'!$W$52</f>
        <v>0</v>
      </c>
      <c r="X13" s="74"/>
    </row>
    <row r="14" spans="1:26" ht="15" x14ac:dyDescent="0.25">
      <c r="A14" s="275">
        <v>2012</v>
      </c>
      <c r="B14" s="522">
        <f t="shared" si="6"/>
        <v>1</v>
      </c>
      <c r="C14" s="523">
        <f>'7&amp;8 Sleep'!$N81+'7&amp;8 Sleep'!$AA81</f>
        <v>0</v>
      </c>
      <c r="D14" s="523">
        <f>'7&amp;8 Sleep'!$N133+'7&amp;8 Sleep'!$AA133</f>
        <v>0</v>
      </c>
      <c r="E14" s="523">
        <f>'7&amp;8 Sleep'!$N185+'7&amp;8 Sleep'!$AA185</f>
        <v>0</v>
      </c>
      <c r="F14" s="523">
        <f>'7&amp;8 Sleep'!$N238+'7&amp;8 Sleep'!$AA238</f>
        <v>0</v>
      </c>
      <c r="G14" s="524">
        <f>'7&amp;8 Sleep'!$N291+'7&amp;8 Sleep'!$AA291</f>
        <v>0</v>
      </c>
      <c r="H14" s="505">
        <f t="shared" si="7"/>
        <v>1</v>
      </c>
      <c r="I14" s="505">
        <f>'7&amp;8 Day'!$N81+'7&amp;8 Day'!$AA81</f>
        <v>0</v>
      </c>
      <c r="J14" s="505">
        <f>'7&amp;8 Day'!$N133+'7&amp;8 Day'!$AA133</f>
        <v>0</v>
      </c>
      <c r="K14" s="505">
        <f>'7&amp;8 Day'!$N185+'7&amp;8 Day'!$AA185</f>
        <v>0</v>
      </c>
      <c r="L14" s="505">
        <f>'7&amp;8 Day'!$N238+'7&amp;8 Day'!$AA238</f>
        <v>0</v>
      </c>
      <c r="M14" s="505">
        <f>'7&amp;8 Day'!$N291+'7&amp;8 Day'!$AA291</f>
        <v>0</v>
      </c>
      <c r="N14" s="522">
        <f t="shared" si="8"/>
        <v>1</v>
      </c>
      <c r="O14" s="523">
        <f>'7&amp;8 SU'!$N81+'7&amp;8 SU'!$AA81</f>
        <v>0</v>
      </c>
      <c r="P14" s="523">
        <f>'7&amp;8 SU'!$N133+'7&amp;8 SU'!$AA133</f>
        <v>0</v>
      </c>
      <c r="Q14" s="523">
        <f>'7&amp;8 SU'!$N185+'7&amp;8 SU'!$AA185</f>
        <v>0</v>
      </c>
      <c r="R14" s="523">
        <f>'7&amp;8 SU'!$N238+'7&amp;8 SU'!$AA238</f>
        <v>0</v>
      </c>
      <c r="S14" s="524">
        <f>'7&amp;8 SU'!$N291+'7&amp;8 SU'!$AA291</f>
        <v>0</v>
      </c>
      <c r="T14" s="509">
        <f>B14*'Market Data'!$C$52+H14*'Market Data'!$M$52+N14*'Market Data'!$W$52</f>
        <v>1</v>
      </c>
      <c r="U14" s="290">
        <f>SUM(C14:G14)*'Market Data'!$C$52+SUM(I14:M14)*'Market Data'!$M$52+SUM(O14:S14)*'Market Data'!$W$52</f>
        <v>0</v>
      </c>
      <c r="X14" s="74"/>
    </row>
    <row r="15" spans="1:26" ht="15" x14ac:dyDescent="0.25">
      <c r="A15" s="275">
        <v>2013</v>
      </c>
      <c r="B15" s="522">
        <f t="shared" si="6"/>
        <v>1</v>
      </c>
      <c r="C15" s="523">
        <f>'7&amp;8 Sleep'!$N82+'7&amp;8 Sleep'!$AA82</f>
        <v>0</v>
      </c>
      <c r="D15" s="523">
        <f>'7&amp;8 Sleep'!$N134+'7&amp;8 Sleep'!$AA134</f>
        <v>0</v>
      </c>
      <c r="E15" s="523">
        <f>'7&amp;8 Sleep'!$N186+'7&amp;8 Sleep'!$AA186</f>
        <v>0</v>
      </c>
      <c r="F15" s="523">
        <f>'7&amp;8 Sleep'!$N239+'7&amp;8 Sleep'!$AA239</f>
        <v>0</v>
      </c>
      <c r="G15" s="524">
        <f>'7&amp;8 Sleep'!$N292+'7&amp;8 Sleep'!$AA292</f>
        <v>0</v>
      </c>
      <c r="H15" s="505">
        <f t="shared" si="7"/>
        <v>1</v>
      </c>
      <c r="I15" s="505">
        <f>'7&amp;8 Day'!$N82+'7&amp;8 Day'!$AA82</f>
        <v>0</v>
      </c>
      <c r="J15" s="505">
        <f>'7&amp;8 Day'!$N134+'7&amp;8 Day'!$AA134</f>
        <v>0</v>
      </c>
      <c r="K15" s="505">
        <f>'7&amp;8 Day'!$N186+'7&amp;8 Day'!$AA186</f>
        <v>0</v>
      </c>
      <c r="L15" s="505">
        <f>'7&amp;8 Day'!$N239+'7&amp;8 Day'!$AA239</f>
        <v>0</v>
      </c>
      <c r="M15" s="505">
        <f>'7&amp;8 Day'!$N292+'7&amp;8 Day'!$AA292</f>
        <v>0</v>
      </c>
      <c r="N15" s="522">
        <f t="shared" si="8"/>
        <v>1</v>
      </c>
      <c r="O15" s="523">
        <f>'7&amp;8 SU'!$N82+'7&amp;8 SU'!$AA82</f>
        <v>0</v>
      </c>
      <c r="P15" s="523">
        <f>'7&amp;8 SU'!$N134+'7&amp;8 SU'!$AA134</f>
        <v>0</v>
      </c>
      <c r="Q15" s="523">
        <f>'7&amp;8 SU'!$N186+'7&amp;8 SU'!$AA186</f>
        <v>0</v>
      </c>
      <c r="R15" s="523">
        <f>'7&amp;8 SU'!$N239+'7&amp;8 SU'!$AA239</f>
        <v>0</v>
      </c>
      <c r="S15" s="524">
        <f>'7&amp;8 SU'!$N292+'7&amp;8 SU'!$AA292</f>
        <v>0</v>
      </c>
      <c r="T15" s="509">
        <f>B15*'Market Data'!$C$52+H15*'Market Data'!$M$52+N15*'Market Data'!$W$52</f>
        <v>1</v>
      </c>
      <c r="U15" s="290">
        <f>SUM(C15:G15)*'Market Data'!$C$52+SUM(I15:M15)*'Market Data'!$M$52+SUM(O15:S15)*'Market Data'!$W$52</f>
        <v>0</v>
      </c>
      <c r="X15" s="74"/>
    </row>
    <row r="16" spans="1:26" ht="15" x14ac:dyDescent="0.25">
      <c r="A16" s="275">
        <v>2014</v>
      </c>
      <c r="B16" s="522">
        <f t="shared" si="6"/>
        <v>1</v>
      </c>
      <c r="C16" s="523">
        <f>'7&amp;8 Sleep'!$N83+'7&amp;8 Sleep'!$AA83</f>
        <v>0</v>
      </c>
      <c r="D16" s="523">
        <f>'7&amp;8 Sleep'!$N135+'7&amp;8 Sleep'!$AA135</f>
        <v>0</v>
      </c>
      <c r="E16" s="523">
        <f>'7&amp;8 Sleep'!$N187+'7&amp;8 Sleep'!$AA187</f>
        <v>0</v>
      </c>
      <c r="F16" s="523">
        <f>'7&amp;8 Sleep'!$N240+'7&amp;8 Sleep'!$AA240</f>
        <v>0</v>
      </c>
      <c r="G16" s="524">
        <f>'7&amp;8 Sleep'!$N293+'7&amp;8 Sleep'!$AA293</f>
        <v>0</v>
      </c>
      <c r="H16" s="505">
        <f t="shared" si="7"/>
        <v>1</v>
      </c>
      <c r="I16" s="505">
        <f>'7&amp;8 Day'!$N83+'7&amp;8 Day'!$AA83</f>
        <v>0</v>
      </c>
      <c r="J16" s="505">
        <f>'7&amp;8 Day'!$N135+'7&amp;8 Day'!$AA135</f>
        <v>0</v>
      </c>
      <c r="K16" s="505">
        <f>'7&amp;8 Day'!$N187+'7&amp;8 Day'!$AA187</f>
        <v>0</v>
      </c>
      <c r="L16" s="505">
        <f>'7&amp;8 Day'!$N240+'7&amp;8 Day'!$AA240</f>
        <v>0</v>
      </c>
      <c r="M16" s="505">
        <f>'7&amp;8 Day'!$N293+'7&amp;8 Day'!$AA293</f>
        <v>0</v>
      </c>
      <c r="N16" s="522">
        <f t="shared" si="8"/>
        <v>1</v>
      </c>
      <c r="O16" s="523">
        <f>'7&amp;8 SU'!$N83+'7&amp;8 SU'!$AA83</f>
        <v>0</v>
      </c>
      <c r="P16" s="523">
        <f>'7&amp;8 SU'!$N135+'7&amp;8 SU'!$AA135</f>
        <v>0</v>
      </c>
      <c r="Q16" s="523">
        <f>'7&amp;8 SU'!$N187+'7&amp;8 SU'!$AA187</f>
        <v>0</v>
      </c>
      <c r="R16" s="523">
        <f>'7&amp;8 SU'!$N240+'7&amp;8 SU'!$AA240</f>
        <v>0</v>
      </c>
      <c r="S16" s="524">
        <f>'7&amp;8 SU'!$N293+'7&amp;8 SU'!$AA293</f>
        <v>0</v>
      </c>
      <c r="T16" s="509">
        <f>B16*'Market Data'!$C$52+H16*'Market Data'!$M$52+N16*'Market Data'!$W$52</f>
        <v>1</v>
      </c>
      <c r="U16" s="290">
        <f>SUM(C16:G16)*'Market Data'!$C$52+SUM(I16:M16)*'Market Data'!$M$52+SUM(O16:S16)*'Market Data'!$W$52</f>
        <v>0</v>
      </c>
      <c r="X16" s="74"/>
    </row>
    <row r="17" spans="1:26" ht="15" x14ac:dyDescent="0.25">
      <c r="A17" s="274">
        <v>2015</v>
      </c>
      <c r="B17" s="525">
        <f t="shared" si="6"/>
        <v>1</v>
      </c>
      <c r="C17" s="526">
        <f>'7&amp;8 Sleep'!$N84+'7&amp;8 Sleep'!$AA84</f>
        <v>0</v>
      </c>
      <c r="D17" s="526">
        <f>'7&amp;8 Sleep'!$N136+'7&amp;8 Sleep'!$AA136</f>
        <v>0</v>
      </c>
      <c r="E17" s="526">
        <f>'7&amp;8 Sleep'!$N188+'7&amp;8 Sleep'!$AA188</f>
        <v>0</v>
      </c>
      <c r="F17" s="526">
        <f>'7&amp;8 Sleep'!$N241+'7&amp;8 Sleep'!$AA241</f>
        <v>0</v>
      </c>
      <c r="G17" s="527">
        <f>'7&amp;8 Sleep'!$N294+'7&amp;8 Sleep'!$AA294</f>
        <v>0</v>
      </c>
      <c r="H17" s="506">
        <f t="shared" si="7"/>
        <v>1</v>
      </c>
      <c r="I17" s="506">
        <f>'7&amp;8 Day'!$N84+'7&amp;8 Day'!$AA84</f>
        <v>0</v>
      </c>
      <c r="J17" s="506">
        <f>'7&amp;8 Day'!$N136+'7&amp;8 Day'!$AA136</f>
        <v>0</v>
      </c>
      <c r="K17" s="506">
        <f>'7&amp;8 Day'!$N188+'7&amp;8 Day'!$AA188</f>
        <v>0</v>
      </c>
      <c r="L17" s="506">
        <f>'7&amp;8 Day'!$N241+'7&amp;8 Day'!$AA241</f>
        <v>0</v>
      </c>
      <c r="M17" s="506">
        <f>'7&amp;8 Day'!$N294+'7&amp;8 Day'!$AA294</f>
        <v>0</v>
      </c>
      <c r="N17" s="525">
        <f t="shared" si="8"/>
        <v>1</v>
      </c>
      <c r="O17" s="526">
        <f>'7&amp;8 SU'!$N84+'7&amp;8 SU'!$AA84</f>
        <v>0</v>
      </c>
      <c r="P17" s="526">
        <f>'7&amp;8 SU'!$N136+'7&amp;8 SU'!$AA136</f>
        <v>0</v>
      </c>
      <c r="Q17" s="526">
        <f>'7&amp;8 SU'!$N188+'7&amp;8 SU'!$AA188</f>
        <v>0</v>
      </c>
      <c r="R17" s="526">
        <f>'7&amp;8 SU'!$N241+'7&amp;8 SU'!$AA241</f>
        <v>0</v>
      </c>
      <c r="S17" s="527">
        <f>'7&amp;8 SU'!$N294+'7&amp;8 SU'!$AA294</f>
        <v>0</v>
      </c>
      <c r="T17" s="510">
        <f>B17*'Market Data'!$C$52+H17*'Market Data'!$M$52+N17*'Market Data'!$W$52</f>
        <v>1</v>
      </c>
      <c r="U17" s="293">
        <f>SUM(C17:G17)*'Market Data'!$C$52+SUM(I17:M17)*'Market Data'!$M$52+SUM(O17:S17)*'Market Data'!$W$52</f>
        <v>0</v>
      </c>
      <c r="X17" s="74"/>
    </row>
    <row r="18" spans="1:26" ht="15" x14ac:dyDescent="0.25">
      <c r="A18" s="495">
        <v>2016</v>
      </c>
      <c r="B18" s="530">
        <f t="shared" si="6"/>
        <v>1</v>
      </c>
      <c r="C18" s="531">
        <f>'7&amp;8 Sleep'!$N85+'7&amp;8 Sleep'!$AA85</f>
        <v>0</v>
      </c>
      <c r="D18" s="531">
        <f>'7&amp;8 Sleep'!$N137+'7&amp;8 Sleep'!$AA137</f>
        <v>0</v>
      </c>
      <c r="E18" s="531">
        <f>'7&amp;8 Sleep'!$N189+'7&amp;8 Sleep'!$AA189</f>
        <v>0</v>
      </c>
      <c r="F18" s="531">
        <f>'7&amp;8 Sleep'!$N242+'7&amp;8 Sleep'!$AA242</f>
        <v>0</v>
      </c>
      <c r="G18" s="532">
        <f>'7&amp;8 Sleep'!$N295+'7&amp;8 Sleep'!$AA295</f>
        <v>0</v>
      </c>
      <c r="H18" s="507">
        <f t="shared" si="7"/>
        <v>1</v>
      </c>
      <c r="I18" s="507">
        <f>'7&amp;8 Day'!$N85+'7&amp;8 Day'!$AA85</f>
        <v>0</v>
      </c>
      <c r="J18" s="507">
        <f>'7&amp;8 Day'!$N137+'7&amp;8 Day'!$AA137</f>
        <v>0</v>
      </c>
      <c r="K18" s="507">
        <f>'7&amp;8 Day'!$N189+'7&amp;8 Day'!$AA189</f>
        <v>0</v>
      </c>
      <c r="L18" s="507">
        <f>'7&amp;8 Day'!$N242+'7&amp;8 Day'!$AA242</f>
        <v>0</v>
      </c>
      <c r="M18" s="507">
        <f>'7&amp;8 Day'!$N295+'7&amp;8 Day'!$AA295</f>
        <v>0</v>
      </c>
      <c r="N18" s="530">
        <f t="shared" si="8"/>
        <v>1</v>
      </c>
      <c r="O18" s="531">
        <f>'7&amp;8 SU'!$N85+'7&amp;8 SU'!$AA85</f>
        <v>0</v>
      </c>
      <c r="P18" s="531">
        <f>'7&amp;8 SU'!$N137+'7&amp;8 SU'!$AA137</f>
        <v>0</v>
      </c>
      <c r="Q18" s="531">
        <f>'7&amp;8 SU'!$N189+'7&amp;8 SU'!$AA189</f>
        <v>0</v>
      </c>
      <c r="R18" s="531">
        <f>'7&amp;8 SU'!$N242+'7&amp;8 SU'!$AA242</f>
        <v>0</v>
      </c>
      <c r="S18" s="532">
        <f>'7&amp;8 SU'!$N295+'7&amp;8 SU'!$AA295</f>
        <v>0</v>
      </c>
      <c r="T18" s="511">
        <f>B18*'Market Data'!$C$52+H18*'Market Data'!$M$52+N18*'Market Data'!$W$52</f>
        <v>1</v>
      </c>
      <c r="U18" s="297">
        <f>SUM(C18:G18)*'Market Data'!$C$52+SUM(I18:M18)*'Market Data'!$M$52+SUM(O18:S18)*'Market Data'!$W$52</f>
        <v>0</v>
      </c>
      <c r="X18" s="74"/>
    </row>
    <row r="19" spans="1:26" ht="15" x14ac:dyDescent="0.25">
      <c r="A19" s="275">
        <v>2017</v>
      </c>
      <c r="B19" s="522">
        <f t="shared" si="6"/>
        <v>1</v>
      </c>
      <c r="C19" s="523">
        <f>'7&amp;8 Sleep'!$N86+'7&amp;8 Sleep'!$AA86</f>
        <v>0</v>
      </c>
      <c r="D19" s="523">
        <f>'7&amp;8 Sleep'!$N138+'7&amp;8 Sleep'!$AA138</f>
        <v>0</v>
      </c>
      <c r="E19" s="523">
        <f>'7&amp;8 Sleep'!$N190+'7&amp;8 Sleep'!$AA190</f>
        <v>0</v>
      </c>
      <c r="F19" s="523">
        <f>'7&amp;8 Sleep'!$N243+'7&amp;8 Sleep'!$AA243</f>
        <v>0</v>
      </c>
      <c r="G19" s="524">
        <f>'7&amp;8 Sleep'!$N296+'7&amp;8 Sleep'!$AA296</f>
        <v>0</v>
      </c>
      <c r="H19" s="505">
        <f t="shared" si="7"/>
        <v>1</v>
      </c>
      <c r="I19" s="505">
        <f>'7&amp;8 Day'!$N86+'7&amp;8 Day'!$AA86</f>
        <v>0</v>
      </c>
      <c r="J19" s="505">
        <f>'7&amp;8 Day'!$N138+'7&amp;8 Day'!$AA138</f>
        <v>0</v>
      </c>
      <c r="K19" s="505">
        <f>'7&amp;8 Day'!$N190+'7&amp;8 Day'!$AA190</f>
        <v>0</v>
      </c>
      <c r="L19" s="505">
        <f>'7&amp;8 Day'!$N243+'7&amp;8 Day'!$AA243</f>
        <v>0</v>
      </c>
      <c r="M19" s="505">
        <f>'7&amp;8 Day'!$N296+'7&amp;8 Day'!$AA296</f>
        <v>0</v>
      </c>
      <c r="N19" s="522">
        <f t="shared" si="8"/>
        <v>1</v>
      </c>
      <c r="O19" s="523">
        <f>'7&amp;8 SU'!$N86+'7&amp;8 SU'!$AA86</f>
        <v>0</v>
      </c>
      <c r="P19" s="523">
        <f>'7&amp;8 SU'!$N138+'7&amp;8 SU'!$AA138</f>
        <v>0</v>
      </c>
      <c r="Q19" s="523">
        <f>'7&amp;8 SU'!$N190+'7&amp;8 SU'!$AA190</f>
        <v>0</v>
      </c>
      <c r="R19" s="523">
        <f>'7&amp;8 SU'!$N243+'7&amp;8 SU'!$AA243</f>
        <v>0</v>
      </c>
      <c r="S19" s="524">
        <f>'7&amp;8 SU'!$N296+'7&amp;8 SU'!$AA296</f>
        <v>0</v>
      </c>
      <c r="T19" s="509">
        <f>B19*'Market Data'!$C$52+H19*'Market Data'!$M$52+N19*'Market Data'!$W$52</f>
        <v>1</v>
      </c>
      <c r="U19" s="290">
        <f>SUM(C19:G19)*'Market Data'!$C$52+SUM(I19:M19)*'Market Data'!$M$52+SUM(O19:S19)*'Market Data'!$W$52</f>
        <v>0</v>
      </c>
      <c r="X19" s="74"/>
    </row>
    <row r="20" spans="1:26" ht="15" x14ac:dyDescent="0.25">
      <c r="A20" s="275">
        <v>2018</v>
      </c>
      <c r="B20" s="522">
        <f t="shared" si="6"/>
        <v>1</v>
      </c>
      <c r="C20" s="523">
        <f>'7&amp;8 Sleep'!$N87+'7&amp;8 Sleep'!$AA87</f>
        <v>0</v>
      </c>
      <c r="D20" s="523">
        <f>'7&amp;8 Sleep'!$N139+'7&amp;8 Sleep'!$AA139</f>
        <v>0</v>
      </c>
      <c r="E20" s="523">
        <f>'7&amp;8 Sleep'!$N191+'7&amp;8 Sleep'!$AA191</f>
        <v>0</v>
      </c>
      <c r="F20" s="523">
        <f>'7&amp;8 Sleep'!$N244+'7&amp;8 Sleep'!$AA244</f>
        <v>0</v>
      </c>
      <c r="G20" s="524">
        <f>'7&amp;8 Sleep'!$N297+'7&amp;8 Sleep'!$AA297</f>
        <v>0</v>
      </c>
      <c r="H20" s="505">
        <f t="shared" si="7"/>
        <v>1</v>
      </c>
      <c r="I20" s="505">
        <f>'7&amp;8 Day'!$N87+'7&amp;8 Day'!$AA87</f>
        <v>0</v>
      </c>
      <c r="J20" s="505">
        <f>'7&amp;8 Day'!$N139+'7&amp;8 Day'!$AA139</f>
        <v>0</v>
      </c>
      <c r="K20" s="505">
        <f>'7&amp;8 Day'!$N191+'7&amp;8 Day'!$AA191</f>
        <v>0</v>
      </c>
      <c r="L20" s="505">
        <f>'7&amp;8 Day'!$N244+'7&amp;8 Day'!$AA244</f>
        <v>0</v>
      </c>
      <c r="M20" s="505">
        <f>'7&amp;8 Day'!$N297+'7&amp;8 Day'!$AA297</f>
        <v>0</v>
      </c>
      <c r="N20" s="522">
        <f t="shared" si="8"/>
        <v>1</v>
      </c>
      <c r="O20" s="523">
        <f>'7&amp;8 SU'!$N87+'7&amp;8 SU'!$AA87</f>
        <v>0</v>
      </c>
      <c r="P20" s="523">
        <f>'7&amp;8 SU'!$N139+'7&amp;8 SU'!$AA139</f>
        <v>0</v>
      </c>
      <c r="Q20" s="523">
        <f>'7&amp;8 SU'!$N191+'7&amp;8 SU'!$AA191</f>
        <v>0</v>
      </c>
      <c r="R20" s="523">
        <f>'7&amp;8 SU'!$N244+'7&amp;8 SU'!$AA244</f>
        <v>0</v>
      </c>
      <c r="S20" s="524">
        <f>'7&amp;8 SU'!$N297+'7&amp;8 SU'!$AA297</f>
        <v>0</v>
      </c>
      <c r="T20" s="509">
        <f>B20*'Market Data'!$C$52+H20*'Market Data'!$M$52+N20*'Market Data'!$W$52</f>
        <v>1</v>
      </c>
      <c r="U20" s="290">
        <f>SUM(C20:G20)*'Market Data'!$C$52+SUM(I20:M20)*'Market Data'!$M$52+SUM(O20:S20)*'Market Data'!$W$52</f>
        <v>0</v>
      </c>
      <c r="V20" s="290">
        <f>D20*'Market Data'!$C$52+J20*'Market Data'!$M$52+P20*'Market Data'!$W$52</f>
        <v>0</v>
      </c>
      <c r="W20" s="290">
        <f>E20*'Market Data'!$C$52+Q20*'Market Data'!$W$52</f>
        <v>0</v>
      </c>
      <c r="X20" s="290">
        <f>F20*'Market Data'!$C$52+L20*'Market Data'!$M$52</f>
        <v>0</v>
      </c>
      <c r="Y20" s="290">
        <f>K20*'Market Data'!$M$52+R20*'Market Data'!$W$52</f>
        <v>0</v>
      </c>
      <c r="Z20" s="1127">
        <f>1-SUM(V20:Y20)</f>
        <v>1</v>
      </c>
    </row>
    <row r="21" spans="1:26" ht="15" x14ac:dyDescent="0.25">
      <c r="A21" s="275">
        <v>2019</v>
      </c>
      <c r="B21" s="522">
        <f t="shared" si="6"/>
        <v>1</v>
      </c>
      <c r="C21" s="523">
        <f>'7&amp;8 Sleep'!$N88+'7&amp;8 Sleep'!$AA88</f>
        <v>0</v>
      </c>
      <c r="D21" s="523">
        <f>'7&amp;8 Sleep'!$N140+'7&amp;8 Sleep'!$AA140</f>
        <v>0</v>
      </c>
      <c r="E21" s="523">
        <f>'7&amp;8 Sleep'!$N192+'7&amp;8 Sleep'!$AA192</f>
        <v>0</v>
      </c>
      <c r="F21" s="523">
        <f>'7&amp;8 Sleep'!$N245+'7&amp;8 Sleep'!$AA245</f>
        <v>0</v>
      </c>
      <c r="G21" s="524">
        <f>'7&amp;8 Sleep'!$N298+'7&amp;8 Sleep'!$AA298</f>
        <v>0</v>
      </c>
      <c r="H21" s="505">
        <f t="shared" si="7"/>
        <v>1</v>
      </c>
      <c r="I21" s="505">
        <f>'7&amp;8 Day'!$N88+'7&amp;8 Day'!$AA88</f>
        <v>0</v>
      </c>
      <c r="J21" s="505">
        <f>'7&amp;8 Day'!$N140+'7&amp;8 Day'!$AA140</f>
        <v>0</v>
      </c>
      <c r="K21" s="505">
        <f>'7&amp;8 Day'!$N192+'7&amp;8 Day'!$AA192</f>
        <v>0</v>
      </c>
      <c r="L21" s="505">
        <f>'7&amp;8 Day'!$N245+'7&amp;8 Day'!$AA245</f>
        <v>0</v>
      </c>
      <c r="M21" s="505">
        <f>'7&amp;8 Day'!$N298+'7&amp;8 Day'!$AA298</f>
        <v>0</v>
      </c>
      <c r="N21" s="522">
        <f t="shared" si="8"/>
        <v>1</v>
      </c>
      <c r="O21" s="523">
        <f>'7&amp;8 SU'!$N88+'7&amp;8 SU'!$AA88</f>
        <v>0</v>
      </c>
      <c r="P21" s="523">
        <f>'7&amp;8 SU'!$N140+'7&amp;8 SU'!$AA140</f>
        <v>0</v>
      </c>
      <c r="Q21" s="523">
        <f>'7&amp;8 SU'!$N192+'7&amp;8 SU'!$AA192</f>
        <v>0</v>
      </c>
      <c r="R21" s="523">
        <f>'7&amp;8 SU'!$N245+'7&amp;8 SU'!$AA245</f>
        <v>0</v>
      </c>
      <c r="S21" s="524">
        <f>'7&amp;8 SU'!$N298+'7&amp;8 SU'!$AA298</f>
        <v>0</v>
      </c>
      <c r="T21" s="509">
        <f>B21*'Market Data'!$C$52+H21*'Market Data'!$M$52+N21*'Market Data'!$W$52</f>
        <v>1</v>
      </c>
      <c r="U21" s="290">
        <f>SUM(C21:G21)*'Market Data'!$C$52+SUM(I21:M21)*'Market Data'!$M$52+SUM(O21:S21)*'Market Data'!$W$52</f>
        <v>0</v>
      </c>
      <c r="X21" s="74"/>
    </row>
    <row r="22" spans="1:26" ht="15" x14ac:dyDescent="0.25">
      <c r="A22" s="274">
        <v>2020</v>
      </c>
      <c r="B22" s="525">
        <f t="shared" si="6"/>
        <v>1</v>
      </c>
      <c r="C22" s="526">
        <f>'7&amp;8 Sleep'!$N89+'7&amp;8 Sleep'!$AA89</f>
        <v>0</v>
      </c>
      <c r="D22" s="526">
        <f>'7&amp;8 Sleep'!$N141+'7&amp;8 Sleep'!$AA141</f>
        <v>0</v>
      </c>
      <c r="E22" s="526">
        <f>'7&amp;8 Sleep'!$N193+'7&amp;8 Sleep'!$AA193</f>
        <v>0</v>
      </c>
      <c r="F22" s="526">
        <f>'7&amp;8 Sleep'!$N246+'7&amp;8 Sleep'!$AA246</f>
        <v>0</v>
      </c>
      <c r="G22" s="527">
        <f>'7&amp;8 Sleep'!$N299+'7&amp;8 Sleep'!$AA299</f>
        <v>0</v>
      </c>
      <c r="H22" s="506">
        <f t="shared" si="7"/>
        <v>1</v>
      </c>
      <c r="I22" s="506">
        <f>'7&amp;8 Day'!$N89+'7&amp;8 Day'!$AA89</f>
        <v>0</v>
      </c>
      <c r="J22" s="506">
        <f>'7&amp;8 Day'!$N141+'7&amp;8 Day'!$AA141</f>
        <v>0</v>
      </c>
      <c r="K22" s="506">
        <f>'7&amp;8 Day'!$N193+'7&amp;8 Day'!$AA193</f>
        <v>0</v>
      </c>
      <c r="L22" s="506">
        <f>'7&amp;8 Day'!$N246+'7&amp;8 Day'!$AA246</f>
        <v>0</v>
      </c>
      <c r="M22" s="506">
        <f>'7&amp;8 Day'!$N299+'7&amp;8 Day'!$AA299</f>
        <v>0</v>
      </c>
      <c r="N22" s="525">
        <f t="shared" si="8"/>
        <v>1</v>
      </c>
      <c r="O22" s="526">
        <f>'7&amp;8 SU'!$N89+'7&amp;8 SU'!$AA89</f>
        <v>0</v>
      </c>
      <c r="P22" s="526">
        <f>'7&amp;8 SU'!$N141+'7&amp;8 SU'!$AA141</f>
        <v>0</v>
      </c>
      <c r="Q22" s="526">
        <f>'7&amp;8 SU'!$N193+'7&amp;8 SU'!$AA193</f>
        <v>0</v>
      </c>
      <c r="R22" s="526">
        <f>'7&amp;8 SU'!$N246+'7&amp;8 SU'!$AA246</f>
        <v>0</v>
      </c>
      <c r="S22" s="527">
        <f>'7&amp;8 SU'!$N299+'7&amp;8 SU'!$AA299</f>
        <v>0</v>
      </c>
      <c r="T22" s="510">
        <f>B22*'Market Data'!$C$52+H22*'Market Data'!$M$52+N22*'Market Data'!$W$52</f>
        <v>1</v>
      </c>
      <c r="U22" s="293">
        <f>SUM(C22:G22)*'Market Data'!$C$52+SUM(I22:M22)*'Market Data'!$M$52+SUM(O22:S22)*'Market Data'!$W$52</f>
        <v>0</v>
      </c>
      <c r="X22" s="74"/>
    </row>
    <row r="23" spans="1:26" ht="15" x14ac:dyDescent="0.25">
      <c r="A23" s="495">
        <v>2021</v>
      </c>
      <c r="B23" s="530">
        <f t="shared" si="6"/>
        <v>1</v>
      </c>
      <c r="C23" s="531">
        <f>'7&amp;8 Sleep'!$N90+'7&amp;8 Sleep'!$AA90</f>
        <v>0</v>
      </c>
      <c r="D23" s="531">
        <f>'7&amp;8 Sleep'!$N142+'7&amp;8 Sleep'!$AA142</f>
        <v>0</v>
      </c>
      <c r="E23" s="531">
        <f>'7&amp;8 Sleep'!$N194+'7&amp;8 Sleep'!$AA194</f>
        <v>0</v>
      </c>
      <c r="F23" s="531">
        <f>'7&amp;8 Sleep'!$N247+'7&amp;8 Sleep'!$AA247</f>
        <v>0</v>
      </c>
      <c r="G23" s="532">
        <f>'7&amp;8 Sleep'!$N300+'7&amp;8 Sleep'!$AA300</f>
        <v>0</v>
      </c>
      <c r="H23" s="507">
        <f t="shared" si="7"/>
        <v>1</v>
      </c>
      <c r="I23" s="507">
        <f>'7&amp;8 Day'!$N90+'7&amp;8 Day'!$AA90</f>
        <v>0</v>
      </c>
      <c r="J23" s="507">
        <f>'7&amp;8 Day'!$N142+'7&amp;8 Day'!$AA142</f>
        <v>0</v>
      </c>
      <c r="K23" s="507">
        <f>'7&amp;8 Day'!$N194+'7&amp;8 Day'!$AA194</f>
        <v>0</v>
      </c>
      <c r="L23" s="507">
        <f>'7&amp;8 Day'!$N247+'7&amp;8 Day'!$AA247</f>
        <v>0</v>
      </c>
      <c r="M23" s="507">
        <f>'7&amp;8 Day'!$N300+'7&amp;8 Day'!$AA300</f>
        <v>0</v>
      </c>
      <c r="N23" s="530">
        <f t="shared" si="8"/>
        <v>1</v>
      </c>
      <c r="O23" s="531">
        <f>'7&amp;8 SU'!$N90+'7&amp;8 SU'!$AA90</f>
        <v>0</v>
      </c>
      <c r="P23" s="531">
        <f>'7&amp;8 SU'!$N142+'7&amp;8 SU'!$AA142</f>
        <v>0</v>
      </c>
      <c r="Q23" s="531">
        <f>'7&amp;8 SU'!$N194+'7&amp;8 SU'!$AA194</f>
        <v>0</v>
      </c>
      <c r="R23" s="531">
        <f>'7&amp;8 SU'!$N247+'7&amp;8 SU'!$AA247</f>
        <v>0</v>
      </c>
      <c r="S23" s="532">
        <f>'7&amp;8 SU'!$N300+'7&amp;8 SU'!$AA300</f>
        <v>0</v>
      </c>
      <c r="T23" s="511">
        <f>B23*'Market Data'!$C$52+H23*'Market Data'!$M$52+N23*'Market Data'!$W$52</f>
        <v>1</v>
      </c>
      <c r="U23" s="297">
        <f>SUM(C23:G23)*'Market Data'!$C$52+SUM(I23:M23)*'Market Data'!$M$52+SUM(O23:S23)*'Market Data'!$W$52</f>
        <v>0</v>
      </c>
      <c r="X23" s="74"/>
    </row>
    <row r="24" spans="1:26" ht="15" x14ac:dyDescent="0.25">
      <c r="A24" s="275">
        <v>2022</v>
      </c>
      <c r="B24" s="522">
        <f t="shared" si="6"/>
        <v>1</v>
      </c>
      <c r="C24" s="523">
        <f>'7&amp;8 Sleep'!$N91+'7&amp;8 Sleep'!$AA91</f>
        <v>0</v>
      </c>
      <c r="D24" s="523">
        <f>'7&amp;8 Sleep'!$N143+'7&amp;8 Sleep'!$AA143</f>
        <v>0</v>
      </c>
      <c r="E24" s="523">
        <f>'7&amp;8 Sleep'!$N195+'7&amp;8 Sleep'!$AA195</f>
        <v>0</v>
      </c>
      <c r="F24" s="523">
        <f>'7&amp;8 Sleep'!$N248+'7&amp;8 Sleep'!$AA248</f>
        <v>0</v>
      </c>
      <c r="G24" s="524">
        <f>'7&amp;8 Sleep'!$N301+'7&amp;8 Sleep'!$AA301</f>
        <v>0</v>
      </c>
      <c r="H24" s="505">
        <f t="shared" si="7"/>
        <v>1</v>
      </c>
      <c r="I24" s="505">
        <f>'7&amp;8 Day'!$N91+'7&amp;8 Day'!$AA91</f>
        <v>0</v>
      </c>
      <c r="J24" s="505">
        <f>'7&amp;8 Day'!$N143+'7&amp;8 Day'!$AA143</f>
        <v>0</v>
      </c>
      <c r="K24" s="505">
        <f>'7&amp;8 Day'!$N195+'7&amp;8 Day'!$AA195</f>
        <v>0</v>
      </c>
      <c r="L24" s="505">
        <f>'7&amp;8 Day'!$N248+'7&amp;8 Day'!$AA248</f>
        <v>0</v>
      </c>
      <c r="M24" s="505">
        <f>'7&amp;8 Day'!$N301+'7&amp;8 Day'!$AA301</f>
        <v>0</v>
      </c>
      <c r="N24" s="522">
        <f t="shared" si="8"/>
        <v>1</v>
      </c>
      <c r="O24" s="523">
        <f>'7&amp;8 SU'!$N91+'7&amp;8 SU'!$AA91</f>
        <v>0</v>
      </c>
      <c r="P24" s="523">
        <f>'7&amp;8 SU'!$N143+'7&amp;8 SU'!$AA143</f>
        <v>0</v>
      </c>
      <c r="Q24" s="523">
        <f>'7&amp;8 SU'!$N195+'7&amp;8 SU'!$AA195</f>
        <v>0</v>
      </c>
      <c r="R24" s="523">
        <f>'7&amp;8 SU'!$N248+'7&amp;8 SU'!$AA248</f>
        <v>0</v>
      </c>
      <c r="S24" s="524">
        <f>'7&amp;8 SU'!$N301+'7&amp;8 SU'!$AA301</f>
        <v>0</v>
      </c>
      <c r="T24" s="509">
        <f>B24*'Market Data'!$C$52+H24*'Market Data'!$M$52+N24*'Market Data'!$W$52</f>
        <v>1</v>
      </c>
      <c r="U24" s="290">
        <f>SUM(C24:G24)*'Market Data'!$C$52+SUM(I24:M24)*'Market Data'!$M$52+SUM(O24:S24)*'Market Data'!$W$52</f>
        <v>0</v>
      </c>
      <c r="X24" s="74"/>
    </row>
    <row r="25" spans="1:26" ht="15" x14ac:dyDescent="0.25">
      <c r="A25" s="275">
        <v>2023</v>
      </c>
      <c r="B25" s="522">
        <f t="shared" si="6"/>
        <v>1</v>
      </c>
      <c r="C25" s="523">
        <f>'7&amp;8 Sleep'!$N92+'7&amp;8 Sleep'!$AA92</f>
        <v>0</v>
      </c>
      <c r="D25" s="523">
        <f>'7&amp;8 Sleep'!$N144+'7&amp;8 Sleep'!$AA144</f>
        <v>0</v>
      </c>
      <c r="E25" s="523">
        <f>'7&amp;8 Sleep'!$N196+'7&amp;8 Sleep'!$AA196</f>
        <v>0</v>
      </c>
      <c r="F25" s="523">
        <f>'7&amp;8 Sleep'!$N249+'7&amp;8 Sleep'!$AA249</f>
        <v>0</v>
      </c>
      <c r="G25" s="524">
        <f>'7&amp;8 Sleep'!$N302+'7&amp;8 Sleep'!$AA302</f>
        <v>0</v>
      </c>
      <c r="H25" s="505">
        <f t="shared" si="7"/>
        <v>1</v>
      </c>
      <c r="I25" s="505">
        <f>'7&amp;8 Day'!$N92+'7&amp;8 Day'!$AA92</f>
        <v>0</v>
      </c>
      <c r="J25" s="505">
        <f>'7&amp;8 Day'!$N144+'7&amp;8 Day'!$AA144</f>
        <v>0</v>
      </c>
      <c r="K25" s="505">
        <f>'7&amp;8 Day'!$N196+'7&amp;8 Day'!$AA196</f>
        <v>0</v>
      </c>
      <c r="L25" s="505">
        <f>'7&amp;8 Day'!$N249+'7&amp;8 Day'!$AA249</f>
        <v>0</v>
      </c>
      <c r="M25" s="505">
        <f>'7&amp;8 Day'!$N302+'7&amp;8 Day'!$AA302</f>
        <v>0</v>
      </c>
      <c r="N25" s="522">
        <f t="shared" si="8"/>
        <v>1</v>
      </c>
      <c r="O25" s="523">
        <f>'7&amp;8 SU'!$N92+'7&amp;8 SU'!$AA92</f>
        <v>0</v>
      </c>
      <c r="P25" s="523">
        <f>'7&amp;8 SU'!$N144+'7&amp;8 SU'!$AA144</f>
        <v>0</v>
      </c>
      <c r="Q25" s="523">
        <f>'7&amp;8 SU'!$N196+'7&amp;8 SU'!$AA196</f>
        <v>0</v>
      </c>
      <c r="R25" s="523">
        <f>'7&amp;8 SU'!$N249+'7&amp;8 SU'!$AA249</f>
        <v>0</v>
      </c>
      <c r="S25" s="524">
        <f>'7&amp;8 SU'!$N302+'7&amp;8 SU'!$AA302</f>
        <v>0</v>
      </c>
      <c r="T25" s="509">
        <f>B25*'Market Data'!$C$52+H25*'Market Data'!$M$52+N25*'Market Data'!$W$52</f>
        <v>1</v>
      </c>
      <c r="U25" s="290">
        <f>SUM(C25:G25)*'Market Data'!$C$52+SUM(I25:M25)*'Market Data'!$M$52+SUM(O25:S25)*'Market Data'!$W$52</f>
        <v>0</v>
      </c>
      <c r="X25" s="74"/>
    </row>
    <row r="26" spans="1:26" ht="15" x14ac:dyDescent="0.25">
      <c r="A26" s="275">
        <v>2024</v>
      </c>
      <c r="B26" s="522">
        <f t="shared" si="6"/>
        <v>1</v>
      </c>
      <c r="C26" s="523">
        <f>'7&amp;8 Sleep'!$N93+'7&amp;8 Sleep'!$AA93</f>
        <v>0</v>
      </c>
      <c r="D26" s="523">
        <f>'7&amp;8 Sleep'!$N145+'7&amp;8 Sleep'!$AA145</f>
        <v>0</v>
      </c>
      <c r="E26" s="523">
        <f>'7&amp;8 Sleep'!$N197+'7&amp;8 Sleep'!$AA197</f>
        <v>0</v>
      </c>
      <c r="F26" s="523">
        <f>'7&amp;8 Sleep'!$N250+'7&amp;8 Sleep'!$AA250</f>
        <v>0</v>
      </c>
      <c r="G26" s="524">
        <f>'7&amp;8 Sleep'!$N303+'7&amp;8 Sleep'!$AA303</f>
        <v>0</v>
      </c>
      <c r="H26" s="505">
        <f t="shared" si="7"/>
        <v>1</v>
      </c>
      <c r="I26" s="505">
        <f>'7&amp;8 Day'!$N93+'7&amp;8 Day'!$AA93</f>
        <v>0</v>
      </c>
      <c r="J26" s="505">
        <f>'7&amp;8 Day'!$N145+'7&amp;8 Day'!$AA145</f>
        <v>0</v>
      </c>
      <c r="K26" s="505">
        <f>'7&amp;8 Day'!$N197+'7&amp;8 Day'!$AA197</f>
        <v>0</v>
      </c>
      <c r="L26" s="505">
        <f>'7&amp;8 Day'!$N250+'7&amp;8 Day'!$AA250</f>
        <v>0</v>
      </c>
      <c r="M26" s="505">
        <f>'7&amp;8 Day'!$N303+'7&amp;8 Day'!$AA303</f>
        <v>0</v>
      </c>
      <c r="N26" s="522">
        <f t="shared" si="8"/>
        <v>1</v>
      </c>
      <c r="O26" s="523">
        <f>'7&amp;8 SU'!$N93+'7&amp;8 SU'!$AA93</f>
        <v>0</v>
      </c>
      <c r="P26" s="523">
        <f>'7&amp;8 SU'!$N145+'7&amp;8 SU'!$AA145</f>
        <v>0</v>
      </c>
      <c r="Q26" s="523">
        <f>'7&amp;8 SU'!$N197+'7&amp;8 SU'!$AA197</f>
        <v>0</v>
      </c>
      <c r="R26" s="523">
        <f>'7&amp;8 SU'!$N250+'7&amp;8 SU'!$AA250</f>
        <v>0</v>
      </c>
      <c r="S26" s="524">
        <f>'7&amp;8 SU'!$N303+'7&amp;8 SU'!$AA303</f>
        <v>0</v>
      </c>
      <c r="T26" s="509">
        <f>B26*'Market Data'!$C$52+H26*'Market Data'!$M$52+N26*'Market Data'!$W$52</f>
        <v>1</v>
      </c>
      <c r="U26" s="290">
        <f>SUM(C26:G26)*'Market Data'!$C$52+SUM(I26:M26)*'Market Data'!$M$52+SUM(O26:S26)*'Market Data'!$W$52</f>
        <v>0</v>
      </c>
      <c r="X26" s="74"/>
    </row>
    <row r="27" spans="1:26" ht="15" x14ac:dyDescent="0.25">
      <c r="A27" s="274">
        <v>2025</v>
      </c>
      <c r="B27" s="525">
        <f t="shared" si="6"/>
        <v>1</v>
      </c>
      <c r="C27" s="526">
        <f>'7&amp;8 Sleep'!$N94+'7&amp;8 Sleep'!$AA94</f>
        <v>0</v>
      </c>
      <c r="D27" s="526">
        <f>'7&amp;8 Sleep'!$N146+'7&amp;8 Sleep'!$AA146</f>
        <v>0</v>
      </c>
      <c r="E27" s="526">
        <f>'7&amp;8 Sleep'!$N198+'7&amp;8 Sleep'!$AA198</f>
        <v>0</v>
      </c>
      <c r="F27" s="526">
        <f>'7&amp;8 Sleep'!$N251+'7&amp;8 Sleep'!$AA251</f>
        <v>0</v>
      </c>
      <c r="G27" s="527">
        <f>'7&amp;8 Sleep'!$N304+'7&amp;8 Sleep'!$AA304</f>
        <v>0</v>
      </c>
      <c r="H27" s="506">
        <f t="shared" si="7"/>
        <v>1</v>
      </c>
      <c r="I27" s="506">
        <f>'7&amp;8 Day'!$N94+'7&amp;8 Day'!$AA94</f>
        <v>0</v>
      </c>
      <c r="J27" s="506">
        <f>'7&amp;8 Day'!$N146+'7&amp;8 Day'!$AA146</f>
        <v>0</v>
      </c>
      <c r="K27" s="506">
        <f>'7&amp;8 Day'!$N198+'7&amp;8 Day'!$AA198</f>
        <v>0</v>
      </c>
      <c r="L27" s="506">
        <f>'7&amp;8 Day'!$N251+'7&amp;8 Day'!$AA251</f>
        <v>0</v>
      </c>
      <c r="M27" s="506">
        <f>'7&amp;8 Day'!$N304+'7&amp;8 Day'!$AA304</f>
        <v>0</v>
      </c>
      <c r="N27" s="525">
        <f t="shared" si="8"/>
        <v>1</v>
      </c>
      <c r="O27" s="526">
        <f>'7&amp;8 SU'!$N94+'7&amp;8 SU'!$AA94</f>
        <v>0</v>
      </c>
      <c r="P27" s="526">
        <f>'7&amp;8 SU'!$N146+'7&amp;8 SU'!$AA146</f>
        <v>0</v>
      </c>
      <c r="Q27" s="526">
        <f>'7&amp;8 SU'!$N198+'7&amp;8 SU'!$AA198</f>
        <v>0</v>
      </c>
      <c r="R27" s="526">
        <f>'7&amp;8 SU'!$N251+'7&amp;8 SU'!$AA251</f>
        <v>0</v>
      </c>
      <c r="S27" s="527">
        <f>'7&amp;8 SU'!$N304+'7&amp;8 SU'!$AA304</f>
        <v>0</v>
      </c>
      <c r="T27" s="510">
        <f>B27*'Market Data'!$C$52+H27*'Market Data'!$M$52+N27*'Market Data'!$W$52</f>
        <v>1</v>
      </c>
      <c r="U27" s="293">
        <f>SUM(C27:G27)*'Market Data'!$C$52+SUM(I27:M27)*'Market Data'!$M$52+SUM(O27:S27)*'Market Data'!$W$52</f>
        <v>0</v>
      </c>
      <c r="X27" s="74"/>
    </row>
    <row r="28" spans="1:26" ht="15" x14ac:dyDescent="0.25">
      <c r="A28" s="495">
        <v>2026</v>
      </c>
      <c r="B28" s="530">
        <f t="shared" si="6"/>
        <v>0.97312421723836229</v>
      </c>
      <c r="C28" s="531">
        <f>'7&amp;8 Sleep'!$N95+'7&amp;8 Sleep'!$AA95</f>
        <v>1.6032622521745536E-2</v>
      </c>
      <c r="D28" s="531">
        <f>'7&amp;8 Sleep'!$N147+'7&amp;8 Sleep'!$AA147</f>
        <v>1.0843160239892126E-2</v>
      </c>
      <c r="E28" s="531">
        <f>'7&amp;8 Sleep'!$N199+'7&amp;8 Sleep'!$AA199</f>
        <v>0</v>
      </c>
      <c r="F28" s="531">
        <f>'7&amp;8 Sleep'!$N252+'7&amp;8 Sleep'!$AA252</f>
        <v>0</v>
      </c>
      <c r="G28" s="532">
        <f>'7&amp;8 Sleep'!$N305+'7&amp;8 Sleep'!$AA305</f>
        <v>0</v>
      </c>
      <c r="H28" s="507">
        <f t="shared" si="7"/>
        <v>0.98319785223449119</v>
      </c>
      <c r="I28" s="507">
        <f>'7&amp;8 Day'!$N95+'7&amp;8 Day'!$AA95</f>
        <v>1.0357391083421052E-2</v>
      </c>
      <c r="J28" s="507">
        <f>'7&amp;8 Day'!$N147+'7&amp;8 Day'!$AA147</f>
        <v>6.4447566820878075E-3</v>
      </c>
      <c r="K28" s="507">
        <f>'7&amp;8 Day'!$N199+'7&amp;8 Day'!$AA199</f>
        <v>0</v>
      </c>
      <c r="L28" s="507">
        <f>'7&amp;8 Day'!$N252+'7&amp;8 Day'!$AA252</f>
        <v>0</v>
      </c>
      <c r="M28" s="507">
        <f>'7&amp;8 Day'!$N305+'7&amp;8 Day'!$AA305</f>
        <v>0</v>
      </c>
      <c r="N28" s="530">
        <f t="shared" si="8"/>
        <v>0.98430603379099491</v>
      </c>
      <c r="O28" s="531">
        <f>'7&amp;8 SU'!$N95+'7&amp;8 SU'!$AA95</f>
        <v>5.0707645185847491E-3</v>
      </c>
      <c r="P28" s="531">
        <f>'7&amp;8 SU'!$N147+'7&amp;8 SU'!$AA147</f>
        <v>1.0623185471732265E-2</v>
      </c>
      <c r="Q28" s="531">
        <f>'7&amp;8 SU'!$N199+'7&amp;8 SU'!$AA199</f>
        <v>0</v>
      </c>
      <c r="R28" s="531">
        <f>'7&amp;8 SU'!$N252+'7&amp;8 SU'!$AA252</f>
        <v>0</v>
      </c>
      <c r="S28" s="532">
        <f>'7&amp;8 SU'!$N305+'7&amp;8 SU'!$AA305</f>
        <v>1.6218688076135895E-8</v>
      </c>
      <c r="T28" s="511">
        <f>B28*'Market Data'!$C$52+H28*'Market Data'!$M$52+N28*'Market Data'!$W$52</f>
        <v>0.97869709064066945</v>
      </c>
      <c r="U28" s="297">
        <f>SUM(C28:G28)*'Market Data'!$C$52+SUM(I28:M28)*'Market Data'!$M$52+SUM(O28:S28)*'Market Data'!$W$52</f>
        <v>2.1302909359330519E-2</v>
      </c>
      <c r="X28" s="74"/>
    </row>
    <row r="29" spans="1:26" ht="15" x14ac:dyDescent="0.25">
      <c r="A29" s="275">
        <v>2027</v>
      </c>
      <c r="B29" s="522">
        <f t="shared" si="6"/>
        <v>0.95548115070228368</v>
      </c>
      <c r="C29" s="523">
        <f>'7&amp;8 Sleep'!$N96+'7&amp;8 Sleep'!$AA96</f>
        <v>2.1345440342575777E-2</v>
      </c>
      <c r="D29" s="523">
        <f>'7&amp;8 Sleep'!$N148+'7&amp;8 Sleep'!$AA148</f>
        <v>2.3173408955140563E-2</v>
      </c>
      <c r="E29" s="523">
        <f>'7&amp;8 Sleep'!$N200+'7&amp;8 Sleep'!$AA200</f>
        <v>0</v>
      </c>
      <c r="F29" s="523">
        <f>'7&amp;8 Sleep'!$N253+'7&amp;8 Sleep'!$AA253</f>
        <v>0</v>
      </c>
      <c r="G29" s="524">
        <f>'7&amp;8 Sleep'!$N306+'7&amp;8 Sleep'!$AA306</f>
        <v>0</v>
      </c>
      <c r="H29" s="505">
        <f t="shared" si="7"/>
        <v>0.97140378353054779</v>
      </c>
      <c r="I29" s="505">
        <f>'7&amp;8 Day'!$N96+'7&amp;8 Day'!$AA96</f>
        <v>1.6503542430612375E-2</v>
      </c>
      <c r="J29" s="505">
        <f>'7&amp;8 Day'!$N148+'7&amp;8 Day'!$AA148</f>
        <v>1.2092674038839783E-2</v>
      </c>
      <c r="K29" s="505">
        <f>'7&amp;8 Day'!$N200+'7&amp;8 Day'!$AA200</f>
        <v>0</v>
      </c>
      <c r="L29" s="505">
        <f>'7&amp;8 Day'!$N253+'7&amp;8 Day'!$AA253</f>
        <v>0</v>
      </c>
      <c r="M29" s="505">
        <f>'7&amp;8 Day'!$N306+'7&amp;8 Day'!$AA306</f>
        <v>0</v>
      </c>
      <c r="N29" s="522">
        <f t="shared" si="8"/>
        <v>0.96049910848679676</v>
      </c>
      <c r="O29" s="523">
        <f>'7&amp;8 SU'!$N96+'7&amp;8 SU'!$AA96</f>
        <v>5.3254874832491536E-4</v>
      </c>
      <c r="P29" s="523">
        <f>'7&amp;8 SU'!$N148+'7&amp;8 SU'!$AA148</f>
        <v>3.8968018535340203E-2</v>
      </c>
      <c r="Q29" s="523">
        <f>'7&amp;8 SU'!$N200+'7&amp;8 SU'!$AA200</f>
        <v>0</v>
      </c>
      <c r="R29" s="523">
        <f>'7&amp;8 SU'!$N253+'7&amp;8 SU'!$AA253</f>
        <v>0</v>
      </c>
      <c r="S29" s="524">
        <f>'7&amp;8 SU'!$N306+'7&amp;8 SU'!$AA306</f>
        <v>3.2422953815188005E-7</v>
      </c>
      <c r="T29" s="509">
        <f>B29*'Market Data'!$C$52+H29*'Market Data'!$M$52+N29*'Market Data'!$W$52</f>
        <v>0.96089940632815773</v>
      </c>
      <c r="U29" s="290">
        <f>SUM(C29:G29)*'Market Data'!$C$52+SUM(I29:M29)*'Market Data'!$M$52+SUM(O29:S29)*'Market Data'!$W$52</f>
        <v>3.9100593671842251E-2</v>
      </c>
      <c r="X29" s="74"/>
    </row>
    <row r="30" spans="1:26" ht="15" x14ac:dyDescent="0.25">
      <c r="A30" s="275">
        <v>2028</v>
      </c>
      <c r="B30" s="522">
        <f t="shared" si="6"/>
        <v>0.79367157094597252</v>
      </c>
      <c r="C30" s="523">
        <f>'7&amp;8 Sleep'!$N97+'7&amp;8 Sleep'!$AA97</f>
        <v>0.12309014373321323</v>
      </c>
      <c r="D30" s="523">
        <f>'7&amp;8 Sleep'!$N149+'7&amp;8 Sleep'!$AA149</f>
        <v>8.3238285320814287E-2</v>
      </c>
      <c r="E30" s="523">
        <f>'7&amp;8 Sleep'!$N201+'7&amp;8 Sleep'!$AA201</f>
        <v>0</v>
      </c>
      <c r="F30" s="523">
        <f>'7&amp;8 Sleep'!$N254+'7&amp;8 Sleep'!$AA254</f>
        <v>0</v>
      </c>
      <c r="G30" s="524">
        <f>'7&amp;8 Sleep'!$N307+'7&amp;8 Sleep'!$AA307</f>
        <v>0</v>
      </c>
      <c r="H30" s="505">
        <f t="shared" si="7"/>
        <v>0.91545631947677153</v>
      </c>
      <c r="I30" s="505">
        <f>'7&amp;8 Day'!$N97+'7&amp;8 Day'!$AA97</f>
        <v>4.9043004925429533E-2</v>
      </c>
      <c r="J30" s="505">
        <f>'7&amp;8 Day'!$N149+'7&amp;8 Day'!$AA149</f>
        <v>3.5500675597798945E-2</v>
      </c>
      <c r="K30" s="505">
        <f>'7&amp;8 Day'!$N201+'7&amp;8 Day'!$AA201</f>
        <v>0</v>
      </c>
      <c r="L30" s="505">
        <f>'7&amp;8 Day'!$N254+'7&amp;8 Day'!$AA254</f>
        <v>0</v>
      </c>
      <c r="M30" s="505">
        <f>'7&amp;8 Day'!$N307+'7&amp;8 Day'!$AA307</f>
        <v>0</v>
      </c>
      <c r="N30" s="522">
        <f t="shared" si="8"/>
        <v>0.90647490092005756</v>
      </c>
      <c r="O30" s="523">
        <f>'7&amp;8 SU'!$N97+'7&amp;8 SU'!$AA97</f>
        <v>1.8868602339595801E-2</v>
      </c>
      <c r="P30" s="523">
        <f>'7&amp;8 SU'!$N149+'7&amp;8 SU'!$AA149</f>
        <v>7.4654404206173114E-2</v>
      </c>
      <c r="Q30" s="523">
        <f>'7&amp;8 SU'!$N201+'7&amp;8 SU'!$AA201</f>
        <v>0</v>
      </c>
      <c r="R30" s="523">
        <f>'7&amp;8 SU'!$N254+'7&amp;8 SU'!$AA254</f>
        <v>0</v>
      </c>
      <c r="S30" s="524">
        <f>'7&amp;8 SU'!$N307+'7&amp;8 SU'!$AA307</f>
        <v>2.0925341735075888E-6</v>
      </c>
      <c r="T30" s="509">
        <f>B30*'Market Data'!$C$52+H30*'Market Data'!$M$52+N30*'Market Data'!$W$52</f>
        <v>0.85504976203937688</v>
      </c>
      <c r="U30" s="290">
        <f>SUM(C30:G30)*'Market Data'!$C$52+SUM(I30:M30)*'Market Data'!$M$52+SUM(O30:S30)*'Market Data'!$W$52</f>
        <v>0.14495023796062306</v>
      </c>
      <c r="X30" s="74"/>
    </row>
    <row r="31" spans="1:26" ht="15" x14ac:dyDescent="0.25">
      <c r="A31" s="275">
        <v>2029</v>
      </c>
      <c r="B31" s="522">
        <f t="shared" si="6"/>
        <v>0.59141760036736701</v>
      </c>
      <c r="C31" s="523">
        <f>'7&amp;8 Sleep'!$N98+'7&amp;8 Sleep'!$AA98</f>
        <v>0.24283090345441322</v>
      </c>
      <c r="D31" s="523">
        <f>'7&amp;8 Sleep'!$N150+'7&amp;8 Sleep'!$AA150</f>
        <v>0.1657514961782198</v>
      </c>
      <c r="E31" s="523">
        <f>'7&amp;8 Sleep'!$N202+'7&amp;8 Sleep'!$AA202</f>
        <v>0</v>
      </c>
      <c r="F31" s="523">
        <f>'7&amp;8 Sleep'!$N255+'7&amp;8 Sleep'!$AA255</f>
        <v>0</v>
      </c>
      <c r="G31" s="524">
        <f>'7&amp;8 Sleep'!$N308+'7&amp;8 Sleep'!$AA308</f>
        <v>0</v>
      </c>
      <c r="H31" s="505">
        <f t="shared" si="7"/>
        <v>0.82054156539550982</v>
      </c>
      <c r="I31" s="505">
        <f>'7&amp;8 Day'!$N98+'7&amp;8 Day'!$AA98</f>
        <v>0.10379496315266015</v>
      </c>
      <c r="J31" s="505">
        <f>'7&amp;8 Day'!$N150+'7&amp;8 Day'!$AA150</f>
        <v>7.5663471451830028E-2</v>
      </c>
      <c r="K31" s="505">
        <f>'7&amp;8 Day'!$N202+'7&amp;8 Day'!$AA202</f>
        <v>0</v>
      </c>
      <c r="L31" s="505">
        <f>'7&amp;8 Day'!$N255+'7&amp;8 Day'!$AA255</f>
        <v>0</v>
      </c>
      <c r="M31" s="505">
        <f>'7&amp;8 Day'!$N308+'7&amp;8 Day'!$AA308</f>
        <v>0</v>
      </c>
      <c r="N31" s="522">
        <f t="shared" si="8"/>
        <v>0.83440005752583135</v>
      </c>
      <c r="O31" s="523">
        <f>'7&amp;8 SU'!$N98+'7&amp;8 SU'!$AA98</f>
        <v>3.3386550208248777E-3</v>
      </c>
      <c r="P31" s="523">
        <f>'7&amp;8 SU'!$N150+'7&amp;8 SU'!$AA150</f>
        <v>0.16225431150928413</v>
      </c>
      <c r="Q31" s="523">
        <f>'7&amp;8 SU'!$N202+'7&amp;8 SU'!$AA202</f>
        <v>0</v>
      </c>
      <c r="R31" s="523">
        <f>'7&amp;8 SU'!$N255+'7&amp;8 SU'!$AA255</f>
        <v>0</v>
      </c>
      <c r="S31" s="524">
        <f>'7&amp;8 SU'!$N308+'7&amp;8 SU'!$AA308</f>
        <v>6.975944059657197E-6</v>
      </c>
      <c r="T31" s="509">
        <f>B31*'Market Data'!$C$52+H31*'Market Data'!$M$52+N31*'Market Data'!$W$52</f>
        <v>0.71513249723365657</v>
      </c>
      <c r="U31" s="290">
        <f>SUM(C31:G31)*'Market Data'!$C$52+SUM(I31:M31)*'Market Data'!$M$52+SUM(O31:S31)*'Market Data'!$W$52</f>
        <v>0.28486750276634332</v>
      </c>
      <c r="V31"/>
      <c r="W31"/>
      <c r="X31"/>
      <c r="Y31"/>
      <c r="Z31"/>
    </row>
    <row r="32" spans="1:26" ht="15" x14ac:dyDescent="0.25">
      <c r="A32" s="274">
        <v>2030</v>
      </c>
      <c r="B32" s="525">
        <f t="shared" si="6"/>
        <v>0.36016638188282202</v>
      </c>
      <c r="C32" s="526">
        <f>'7&amp;8 Sleep'!$N99+'7&amp;8 Sleep'!$AA99</f>
        <v>0.37106026739571024</v>
      </c>
      <c r="D32" s="526">
        <f>'7&amp;8 Sleep'!$N151+'7&amp;8 Sleep'!$AA151</f>
        <v>0.26877335072146769</v>
      </c>
      <c r="E32" s="526">
        <f>'7&amp;8 Sleep'!$N203+'7&amp;8 Sleep'!$AA203</f>
        <v>0</v>
      </c>
      <c r="F32" s="526">
        <f>'7&amp;8 Sleep'!$N256+'7&amp;8 Sleep'!$AA256</f>
        <v>0</v>
      </c>
      <c r="G32" s="527">
        <f>'7&amp;8 Sleep'!$N309+'7&amp;8 Sleep'!$AA309</f>
        <v>0</v>
      </c>
      <c r="H32" s="506">
        <f t="shared" si="7"/>
        <v>0.69514359124728042</v>
      </c>
      <c r="I32" s="506">
        <f>'7&amp;8 Day'!$N99+'7&amp;8 Day'!$AA99</f>
        <v>0.17415292723055684</v>
      </c>
      <c r="J32" s="506">
        <f>'7&amp;8 Day'!$N151+'7&amp;8 Day'!$AA151</f>
        <v>0.13070348152216277</v>
      </c>
      <c r="K32" s="506">
        <f>'7&amp;8 Day'!$N203+'7&amp;8 Day'!$AA203</f>
        <v>0</v>
      </c>
      <c r="L32" s="506">
        <f>'7&amp;8 Day'!$N256+'7&amp;8 Day'!$AA256</f>
        <v>0</v>
      </c>
      <c r="M32" s="506">
        <f>'7&amp;8 Day'!$N309+'7&amp;8 Day'!$AA309</f>
        <v>0</v>
      </c>
      <c r="N32" s="525">
        <f t="shared" si="8"/>
        <v>0.7579642012283031</v>
      </c>
      <c r="O32" s="526">
        <f>'7&amp;8 SU'!$N99+'7&amp;8 SU'!$AA99</f>
        <v>1.079008828809714E-3</v>
      </c>
      <c r="P32" s="526">
        <f>'7&amp;8 SU'!$N151+'7&amp;8 SU'!$AA151</f>
        <v>0.24092667643611032</v>
      </c>
      <c r="Q32" s="526">
        <f>'7&amp;8 SU'!$N203+'7&amp;8 SU'!$AA203</f>
        <v>0</v>
      </c>
      <c r="R32" s="526">
        <f>'7&amp;8 SU'!$N256+'7&amp;8 SU'!$AA256</f>
        <v>0</v>
      </c>
      <c r="S32" s="527">
        <f>'7&amp;8 SU'!$N309+'7&amp;8 SU'!$AA309</f>
        <v>3.0113506776833806E-5</v>
      </c>
      <c r="T32" s="510">
        <f>B32*'Market Data'!$C$52+H32*'Market Data'!$M$52+N32*'Market Data'!$W$52</f>
        <v>0.55243732254146227</v>
      </c>
      <c r="U32" s="293">
        <f>SUM(C32:G32)*'Market Data'!$C$52+SUM(I32:M32)*'Market Data'!$M$52+SUM(O32:S32)*'Market Data'!$W$52</f>
        <v>0.44756267745853773</v>
      </c>
      <c r="V32" s="290">
        <f>D32*'Market Data'!$C$52+J32*'Market Data'!$M$52+P32*'Market Data'!$W$52</f>
        <v>0.22598652575953732</v>
      </c>
      <c r="W32" s="290">
        <f>E32*'Market Data'!$C$52+Q32*'Market Data'!$W$52</f>
        <v>0</v>
      </c>
      <c r="X32" s="290">
        <f>F32*'Market Data'!$C$52+L32*'Market Data'!$M$52</f>
        <v>0</v>
      </c>
      <c r="Y32" s="290">
        <f>K32*'Market Data'!$M$52+R32*'Market Data'!$W$52</f>
        <v>0</v>
      </c>
      <c r="Z32" s="1127">
        <f>1-SUM(V32:Y32)</f>
        <v>0.77401347424046274</v>
      </c>
    </row>
    <row r="33" spans="1:26" ht="15" x14ac:dyDescent="0.25">
      <c r="A33" s="495">
        <v>2031</v>
      </c>
      <c r="B33" s="530">
        <f t="shared" si="6"/>
        <v>0.20748370031577013</v>
      </c>
      <c r="C33" s="531">
        <f>'7&amp;8 Sleep'!$N100+'7&amp;8 Sleep'!$AA100</f>
        <v>0.45172843574851124</v>
      </c>
      <c r="D33" s="531">
        <f>'7&amp;8 Sleep'!$N152+'7&amp;8 Sleep'!$AA152</f>
        <v>0.34078786393571858</v>
      </c>
      <c r="E33" s="531">
        <f>'7&amp;8 Sleep'!$N204+'7&amp;8 Sleep'!$AA204</f>
        <v>0</v>
      </c>
      <c r="F33" s="531">
        <f>'7&amp;8 Sleep'!$N257+'7&amp;8 Sleep'!$AA257</f>
        <v>0</v>
      </c>
      <c r="G33" s="532">
        <f>'7&amp;8 Sleep'!$N310+'7&amp;8 Sleep'!$AA310</f>
        <v>0</v>
      </c>
      <c r="H33" s="507">
        <f t="shared" si="7"/>
        <v>0.59039503228470569</v>
      </c>
      <c r="I33" s="507">
        <f>'7&amp;8 Day'!$N100+'7&amp;8 Day'!$AA100</f>
        <v>0.2319210247659575</v>
      </c>
      <c r="J33" s="507">
        <f>'7&amp;8 Day'!$N152+'7&amp;8 Day'!$AA152</f>
        <v>0.17768394294933681</v>
      </c>
      <c r="K33" s="507">
        <f>'7&amp;8 Day'!$N204+'7&amp;8 Day'!$AA204</f>
        <v>0</v>
      </c>
      <c r="L33" s="507">
        <f>'7&amp;8 Day'!$N257+'7&amp;8 Day'!$AA257</f>
        <v>0</v>
      </c>
      <c r="M33" s="507">
        <f>'7&amp;8 Day'!$N310+'7&amp;8 Day'!$AA310</f>
        <v>0</v>
      </c>
      <c r="N33" s="530">
        <f t="shared" si="8"/>
        <v>0.71920877486429169</v>
      </c>
      <c r="O33" s="531">
        <f>'7&amp;8 SU'!$N100+'7&amp;8 SU'!$AA100</f>
        <v>1.3656218381800371E-3</v>
      </c>
      <c r="P33" s="531">
        <f>'7&amp;8 SU'!$N152+'7&amp;8 SU'!$AA152</f>
        <v>0.27934606083519087</v>
      </c>
      <c r="Q33" s="531">
        <f>'7&amp;8 SU'!$N204+'7&amp;8 SU'!$AA204</f>
        <v>0</v>
      </c>
      <c r="R33" s="531">
        <f>'7&amp;8 SU'!$N257+'7&amp;8 SU'!$AA257</f>
        <v>3.2741952551342375E-8</v>
      </c>
      <c r="S33" s="532">
        <f>'7&amp;8 SU'!$N310+'7&amp;8 SU'!$AA310</f>
        <v>7.95097203847932E-5</v>
      </c>
      <c r="T33" s="511">
        <f>B33*'Market Data'!$C$52+H33*'Market Data'!$M$52+N33*'Market Data'!$W$52</f>
        <v>0.44253810770703522</v>
      </c>
      <c r="U33" s="297">
        <f>SUM(C33:G33)*'Market Data'!$C$52+SUM(I33:M33)*'Market Data'!$M$52+SUM(O33:S33)*'Market Data'!$W$52</f>
        <v>0.55746189229296461</v>
      </c>
    </row>
    <row r="34" spans="1:26" ht="15" x14ac:dyDescent="0.25">
      <c r="A34" s="275">
        <v>2032</v>
      </c>
      <c r="B34" s="522">
        <f t="shared" si="6"/>
        <v>0.13057978363850975</v>
      </c>
      <c r="C34" s="523">
        <f>'7&amp;8 Sleep'!$N101+'7&amp;8 Sleep'!$AA101</f>
        <v>0.49459806674945928</v>
      </c>
      <c r="D34" s="523">
        <f>'7&amp;8 Sleep'!$N153+'7&amp;8 Sleep'!$AA153</f>
        <v>0.37482214961203097</v>
      </c>
      <c r="E34" s="523">
        <f>'7&amp;8 Sleep'!$N205+'7&amp;8 Sleep'!$AA205</f>
        <v>0</v>
      </c>
      <c r="F34" s="523">
        <f>'7&amp;8 Sleep'!$N258+'7&amp;8 Sleep'!$AA258</f>
        <v>0</v>
      </c>
      <c r="G34" s="524">
        <f>'7&amp;8 Sleep'!$N311+'7&amp;8 Sleep'!$AA311</f>
        <v>0</v>
      </c>
      <c r="H34" s="505">
        <f t="shared" si="7"/>
        <v>0.53147692589455175</v>
      </c>
      <c r="I34" s="505">
        <f>'7&amp;8 Day'!$N101+'7&amp;8 Day'!$AA101</f>
        <v>0.26435981051199148</v>
      </c>
      <c r="J34" s="505">
        <f>'7&amp;8 Day'!$N153+'7&amp;8 Day'!$AA153</f>
        <v>0.20416057141666893</v>
      </c>
      <c r="K34" s="505">
        <f>'7&amp;8 Day'!$N205+'7&amp;8 Day'!$AA205</f>
        <v>0</v>
      </c>
      <c r="L34" s="505">
        <f>'7&amp;8 Day'!$N258+'7&amp;8 Day'!$AA258</f>
        <v>0</v>
      </c>
      <c r="M34" s="505">
        <f>'7&amp;8 Day'!$N311+'7&amp;8 Day'!$AA311</f>
        <v>2.692176787852537E-6</v>
      </c>
      <c r="N34" s="522">
        <f t="shared" si="8"/>
        <v>0.67074957232856769</v>
      </c>
      <c r="O34" s="523">
        <f>'7&amp;8 SU'!$N101+'7&amp;8 SU'!$AA101</f>
        <v>1.8374373165324181E-2</v>
      </c>
      <c r="P34" s="523">
        <f>'7&amp;8 SU'!$N153+'7&amp;8 SU'!$AA153</f>
        <v>0.31073467827301815</v>
      </c>
      <c r="Q34" s="523">
        <f>'7&amp;8 SU'!$N205+'7&amp;8 SU'!$AA205</f>
        <v>0</v>
      </c>
      <c r="R34" s="523">
        <f>'7&amp;8 SU'!$N258+'7&amp;8 SU'!$AA258</f>
        <v>6.6388566871245445E-7</v>
      </c>
      <c r="S34" s="524">
        <f>'7&amp;8 SU'!$N311+'7&amp;8 SU'!$AA311</f>
        <v>1.4071234742125038E-4</v>
      </c>
      <c r="T34" s="509">
        <f>B34*'Market Data'!$C$52+H34*'Market Data'!$M$52+N34*'Market Data'!$W$52</f>
        <v>0.37785589361535055</v>
      </c>
      <c r="U34" s="290">
        <f>SUM(C34:G34)*'Market Data'!$C$52+SUM(I34:M34)*'Market Data'!$M$52+SUM(O34:S34)*'Market Data'!$W$52</f>
        <v>0.62214410638464945</v>
      </c>
    </row>
    <row r="35" spans="1:26" ht="15" x14ac:dyDescent="0.25">
      <c r="A35" s="275">
        <v>2033</v>
      </c>
      <c r="B35" s="522">
        <f t="shared" si="6"/>
        <v>9.7078669104934567E-2</v>
      </c>
      <c r="C35" s="523">
        <f>'7&amp;8 Sleep'!$N102+'7&amp;8 Sleep'!$AA102</f>
        <v>0.50628071024845034</v>
      </c>
      <c r="D35" s="523">
        <f>'7&amp;8 Sleep'!$N154+'7&amp;8 Sleep'!$AA154</f>
        <v>0.39664062064661504</v>
      </c>
      <c r="E35" s="523">
        <f>'7&amp;8 Sleep'!$N206+'7&amp;8 Sleep'!$AA206</f>
        <v>0</v>
      </c>
      <c r="F35" s="523">
        <f>'7&amp;8 Sleep'!$N259+'7&amp;8 Sleep'!$AA259</f>
        <v>0</v>
      </c>
      <c r="G35" s="524">
        <f>'7&amp;8 Sleep'!$N312+'7&amp;8 Sleep'!$AA312</f>
        <v>0</v>
      </c>
      <c r="H35" s="505">
        <f t="shared" si="7"/>
        <v>0.4967505331970673</v>
      </c>
      <c r="I35" s="505">
        <f>'7&amp;8 Day'!$N102+'7&amp;8 Day'!$AA102</f>
        <v>0.28288686012409014</v>
      </c>
      <c r="J35" s="505">
        <f>'7&amp;8 Day'!$N154+'7&amp;8 Day'!$AA154</f>
        <v>0.22034524416677198</v>
      </c>
      <c r="K35" s="505">
        <f>'7&amp;8 Day'!$N206+'7&amp;8 Day'!$AA206</f>
        <v>0</v>
      </c>
      <c r="L35" s="505">
        <f>'7&amp;8 Day'!$N259+'7&amp;8 Day'!$AA259</f>
        <v>0</v>
      </c>
      <c r="M35" s="505">
        <f>'7&amp;8 Day'!$N312+'7&amp;8 Day'!$AA312</f>
        <v>1.7362512070626594E-5</v>
      </c>
      <c r="N35" s="522">
        <f t="shared" si="8"/>
        <v>0.64518194024891806</v>
      </c>
      <c r="O35" s="523">
        <f>'7&amp;8 SU'!$N102+'7&amp;8 SU'!$AA102</f>
        <v>3.6000705252692125E-2</v>
      </c>
      <c r="P35" s="523">
        <f>'7&amp;8 SU'!$N154+'7&amp;8 SU'!$AA154</f>
        <v>0.31854857872438525</v>
      </c>
      <c r="Q35" s="523">
        <f>'7&amp;8 SU'!$N206+'7&amp;8 SU'!$AA206</f>
        <v>0</v>
      </c>
      <c r="R35" s="523">
        <f>'7&amp;8 SU'!$N259+'7&amp;8 SU'!$AA259</f>
        <v>1.083939623396085E-5</v>
      </c>
      <c r="S35" s="524">
        <f>'7&amp;8 SU'!$N312+'7&amp;8 SU'!$AA312</f>
        <v>2.5793637777061693E-4</v>
      </c>
      <c r="T35" s="509">
        <f>B35*'Market Data'!$C$52+H35*'Market Data'!$M$52+N35*'Market Data'!$W$52</f>
        <v>0.34616649176851655</v>
      </c>
      <c r="U35" s="290">
        <f>SUM(C35:G35)*'Market Data'!$C$52+SUM(I35:M35)*'Market Data'!$M$52+SUM(O35:S35)*'Market Data'!$W$52</f>
        <v>0.65383350823148345</v>
      </c>
    </row>
    <row r="36" spans="1:26" ht="15" x14ac:dyDescent="0.25">
      <c r="A36" s="275">
        <v>2034</v>
      </c>
      <c r="B36" s="522">
        <f t="shared" si="6"/>
        <v>8.4707836020867733E-2</v>
      </c>
      <c r="C36" s="523">
        <f>'7&amp;8 Sleep'!$N103+'7&amp;8 Sleep'!$AA103</f>
        <v>0.5114687556284172</v>
      </c>
      <c r="D36" s="523">
        <f>'7&amp;8 Sleep'!$N155+'7&amp;8 Sleep'!$AA155</f>
        <v>0.40382340835071501</v>
      </c>
      <c r="E36" s="523">
        <f>'7&amp;8 Sleep'!$N207+'7&amp;8 Sleep'!$AA207</f>
        <v>0</v>
      </c>
      <c r="F36" s="523">
        <f>'7&amp;8 Sleep'!$N260+'7&amp;8 Sleep'!$AA260</f>
        <v>0</v>
      </c>
      <c r="G36" s="524">
        <f>'7&amp;8 Sleep'!$N313+'7&amp;8 Sleep'!$AA313</f>
        <v>0</v>
      </c>
      <c r="H36" s="505">
        <f t="shared" si="7"/>
        <v>0.48508599835823263</v>
      </c>
      <c r="I36" s="505">
        <f>'7&amp;8 Day'!$N103+'7&amp;8 Day'!$AA103</f>
        <v>0.28804051701474354</v>
      </c>
      <c r="J36" s="505">
        <f>'7&amp;8 Day'!$N155+'7&amp;8 Day'!$AA155</f>
        <v>0.2268367953738708</v>
      </c>
      <c r="K36" s="505">
        <f>'7&amp;8 Day'!$N207+'7&amp;8 Day'!$AA207</f>
        <v>0</v>
      </c>
      <c r="L36" s="505">
        <f>'7&amp;8 Day'!$N260+'7&amp;8 Day'!$AA260</f>
        <v>0</v>
      </c>
      <c r="M36" s="505">
        <f>'7&amp;8 Day'!$N313+'7&amp;8 Day'!$AA313</f>
        <v>3.6689253153067072E-5</v>
      </c>
      <c r="N36" s="522">
        <f t="shared" si="8"/>
        <v>0.62488215136989211</v>
      </c>
      <c r="O36" s="523">
        <f>'7&amp;8 SU'!$N103+'7&amp;8 SU'!$AA103</f>
        <v>4.6577756985259788E-2</v>
      </c>
      <c r="P36" s="523">
        <f>'7&amp;8 SU'!$N155+'7&amp;8 SU'!$AA155</f>
        <v>0.32810328856842685</v>
      </c>
      <c r="Q36" s="523">
        <f>'7&amp;8 SU'!$N207+'7&amp;8 SU'!$AA207</f>
        <v>0</v>
      </c>
      <c r="R36" s="523">
        <f>'7&amp;8 SU'!$N260+'7&amp;8 SU'!$AA260</f>
        <v>3.9744515565905598E-5</v>
      </c>
      <c r="S36" s="524">
        <f>'7&amp;8 SU'!$N313+'7&amp;8 SU'!$AA313</f>
        <v>3.9705856085537749E-4</v>
      </c>
      <c r="T36" s="509">
        <f>B36*'Market Data'!$C$52+H36*'Market Data'!$M$52+N36*'Market Data'!$W$52</f>
        <v>0.3318523697256906</v>
      </c>
      <c r="U36" s="290">
        <f>SUM(C36:G36)*'Market Data'!$C$52+SUM(I36:M36)*'Market Data'!$M$52+SUM(O36:S36)*'Market Data'!$W$52</f>
        <v>0.66814763027430935</v>
      </c>
    </row>
    <row r="37" spans="1:26" ht="15" x14ac:dyDescent="0.25">
      <c r="A37" s="274">
        <v>2035</v>
      </c>
      <c r="B37" s="525">
        <f t="shared" si="6"/>
        <v>7.7982553387168307E-2</v>
      </c>
      <c r="C37" s="526">
        <f>'7&amp;8 Sleep'!$N104+'7&amp;8 Sleep'!$AA104</f>
        <v>0.51500727014862013</v>
      </c>
      <c r="D37" s="526">
        <f>'7&amp;8 Sleep'!$N156+'7&amp;8 Sleep'!$AA156</f>
        <v>0.40701017646421156</v>
      </c>
      <c r="E37" s="526">
        <f>'7&amp;8 Sleep'!$N208+'7&amp;8 Sleep'!$AA208</f>
        <v>0</v>
      </c>
      <c r="F37" s="526">
        <f>'7&amp;8 Sleep'!$N261+'7&amp;8 Sleep'!$AA261</f>
        <v>0</v>
      </c>
      <c r="G37" s="527">
        <f>'7&amp;8 Sleep'!$N314+'7&amp;8 Sleep'!$AA314</f>
        <v>0</v>
      </c>
      <c r="H37" s="506">
        <f t="shared" si="7"/>
        <v>0.47015027763819839</v>
      </c>
      <c r="I37" s="506">
        <f>'7&amp;8 Day'!$N104+'7&amp;8 Day'!$AA104</f>
        <v>0.29500676770639145</v>
      </c>
      <c r="J37" s="506">
        <f>'7&amp;8 Day'!$N156+'7&amp;8 Day'!$AA156</f>
        <v>0.23476351483076269</v>
      </c>
      <c r="K37" s="506">
        <f>'7&amp;8 Day'!$N208+'7&amp;8 Day'!$AA208</f>
        <v>0</v>
      </c>
      <c r="L37" s="506">
        <f>'7&amp;8 Day'!$N261+'7&amp;8 Day'!$AA261</f>
        <v>0</v>
      </c>
      <c r="M37" s="506">
        <f>'7&amp;8 Day'!$N314+'7&amp;8 Day'!$AA314</f>
        <v>7.9439824647441041E-5</v>
      </c>
      <c r="N37" s="525">
        <f t="shared" si="8"/>
        <v>0.60822743242171695</v>
      </c>
      <c r="O37" s="526">
        <f>'7&amp;8 SU'!$N104+'7&amp;8 SU'!$AA104</f>
        <v>6.2708679834542314E-2</v>
      </c>
      <c r="P37" s="526">
        <f>'7&amp;8 SU'!$N156+'7&amp;8 SU'!$AA156</f>
        <v>0.32824547213434507</v>
      </c>
      <c r="Q37" s="526">
        <f>'7&amp;8 SU'!$N208+'7&amp;8 SU'!$AA208</f>
        <v>0</v>
      </c>
      <c r="R37" s="526">
        <f>'7&amp;8 SU'!$N261+'7&amp;8 SU'!$AA261</f>
        <v>1.2259593696836748E-4</v>
      </c>
      <c r="S37" s="527">
        <f>'7&amp;8 SU'!$N314+'7&amp;8 SU'!$AA314</f>
        <v>6.9581967242726163E-4</v>
      </c>
      <c r="T37" s="510">
        <f>B37*'Market Data'!$C$52+H37*'Market Data'!$M$52+N37*'Market Data'!$W$52</f>
        <v>0.32036642804124255</v>
      </c>
      <c r="U37" s="293">
        <f>SUM(C37:G37)*'Market Data'!$C$52+SUM(I37:M37)*'Market Data'!$M$52+SUM(O37:S37)*'Market Data'!$W$52</f>
        <v>0.6796335719587574</v>
      </c>
    </row>
    <row r="38" spans="1:26" ht="15" x14ac:dyDescent="0.25">
      <c r="A38" s="495">
        <v>2036</v>
      </c>
      <c r="B38" s="530">
        <f t="shared" si="6"/>
        <v>7.2265604409859963E-2</v>
      </c>
      <c r="C38" s="531">
        <f>'7&amp;8 Sleep'!$N105+'7&amp;8 Sleep'!$AA105</f>
        <v>0.51107835064279361</v>
      </c>
      <c r="D38" s="531">
        <f>'7&amp;8 Sleep'!$N157+'7&amp;8 Sleep'!$AA157</f>
        <v>0.41665604494734637</v>
      </c>
      <c r="E38" s="531">
        <f>'7&amp;8 Sleep'!$N209+'7&amp;8 Sleep'!$AA209</f>
        <v>0</v>
      </c>
      <c r="F38" s="531">
        <f>'7&amp;8 Sleep'!$N262+'7&amp;8 Sleep'!$AA262</f>
        <v>0</v>
      </c>
      <c r="G38" s="532">
        <f>'7&amp;8 Sleep'!$N315+'7&amp;8 Sleep'!$AA315</f>
        <v>0</v>
      </c>
      <c r="H38" s="507">
        <f t="shared" si="7"/>
        <v>0.46310482826513477</v>
      </c>
      <c r="I38" s="507">
        <f>'7&amp;8 Day'!$N105+'7&amp;8 Day'!$AA105</f>
        <v>0.296171774212587</v>
      </c>
      <c r="J38" s="507">
        <f>'7&amp;8 Day'!$N157+'7&amp;8 Day'!$AA157</f>
        <v>0.24053588132167791</v>
      </c>
      <c r="K38" s="507">
        <f>'7&amp;8 Day'!$N209+'7&amp;8 Day'!$AA209</f>
        <v>0</v>
      </c>
      <c r="L38" s="507">
        <f>'7&amp;8 Day'!$N262+'7&amp;8 Day'!$AA262</f>
        <v>0</v>
      </c>
      <c r="M38" s="507">
        <f>'7&amp;8 Day'!$N315+'7&amp;8 Day'!$AA315</f>
        <v>1.8751620060027528E-4</v>
      </c>
      <c r="N38" s="530">
        <f t="shared" si="8"/>
        <v>0.55050264623231682</v>
      </c>
      <c r="O38" s="531">
        <f>'7&amp;8 SU'!$N105+'7&amp;8 SU'!$AA105</f>
        <v>0.11149741860040666</v>
      </c>
      <c r="P38" s="531">
        <f>'7&amp;8 SU'!$N157+'7&amp;8 SU'!$AA157</f>
        <v>0.33667606471794442</v>
      </c>
      <c r="Q38" s="531">
        <f>'7&amp;8 SU'!$N209+'7&amp;8 SU'!$AA209</f>
        <v>0</v>
      </c>
      <c r="R38" s="531">
        <f>'7&amp;8 SU'!$N262+'7&amp;8 SU'!$AA262</f>
        <v>3.6054386441368419E-4</v>
      </c>
      <c r="S38" s="532">
        <f>'7&amp;8 SU'!$N315+'7&amp;8 SU'!$AA315</f>
        <v>9.6332658491845148E-4</v>
      </c>
      <c r="T38" s="511">
        <f>B38*'Market Data'!$C$52+H38*'Market Data'!$M$52+N38*'Market Data'!$W$52</f>
        <v>0.3003777198509594</v>
      </c>
      <c r="U38" s="297">
        <f>SUM(C38:G38)*'Market Data'!$C$52+SUM(I38:M38)*'Market Data'!$M$52+SUM(O38:S38)*'Market Data'!$W$52</f>
        <v>0.6996222801490406</v>
      </c>
    </row>
    <row r="39" spans="1:26" ht="15" x14ac:dyDescent="0.25">
      <c r="A39" s="275">
        <v>2037</v>
      </c>
      <c r="B39" s="522">
        <f t="shared" si="6"/>
        <v>7.1800465269724389E-2</v>
      </c>
      <c r="C39" s="523">
        <f>'7&amp;8 Sleep'!$N106+'7&amp;8 Sleep'!$AA106</f>
        <v>0.50448754724500844</v>
      </c>
      <c r="D39" s="523">
        <f>'7&amp;8 Sleep'!$N158+'7&amp;8 Sleep'!$AA158</f>
        <v>0.42371198748526717</v>
      </c>
      <c r="E39" s="523">
        <f>'7&amp;8 Sleep'!$N210+'7&amp;8 Sleep'!$AA210</f>
        <v>0</v>
      </c>
      <c r="F39" s="523">
        <f>'7&amp;8 Sleep'!$N263+'7&amp;8 Sleep'!$AA263</f>
        <v>0</v>
      </c>
      <c r="G39" s="524">
        <f>'7&amp;8 Sleep'!$N316+'7&amp;8 Sleep'!$AA316</f>
        <v>0</v>
      </c>
      <c r="H39" s="505">
        <f t="shared" si="7"/>
        <v>0.45792677864290821</v>
      </c>
      <c r="I39" s="505">
        <f>'7&amp;8 Day'!$N106+'7&amp;8 Day'!$AA106</f>
        <v>0.2979854314539091</v>
      </c>
      <c r="J39" s="505">
        <f>'7&amp;8 Day'!$N158+'7&amp;8 Day'!$AA158</f>
        <v>0.24378365312244754</v>
      </c>
      <c r="K39" s="505">
        <f>'7&amp;8 Day'!$N210+'7&amp;8 Day'!$AA210</f>
        <v>0</v>
      </c>
      <c r="L39" s="505">
        <f>'7&amp;8 Day'!$N263+'7&amp;8 Day'!$AA263</f>
        <v>0</v>
      </c>
      <c r="M39" s="505">
        <f>'7&amp;8 Day'!$N316+'7&amp;8 Day'!$AA316</f>
        <v>3.0413678073519545E-4</v>
      </c>
      <c r="N39" s="522">
        <f t="shared" si="8"/>
        <v>0.52642747500804021</v>
      </c>
      <c r="O39" s="523">
        <f>'7&amp;8 SU'!$N106+'7&amp;8 SU'!$AA106</f>
        <v>0.13260291956476611</v>
      </c>
      <c r="P39" s="523">
        <f>'7&amp;8 SU'!$N158+'7&amp;8 SU'!$AA158</f>
        <v>0.33925848040270029</v>
      </c>
      <c r="Q39" s="523">
        <f>'7&amp;8 SU'!$N210+'7&amp;8 SU'!$AA210</f>
        <v>0</v>
      </c>
      <c r="R39" s="523">
        <f>'7&amp;8 SU'!$N263+'7&amp;8 SU'!$AA263</f>
        <v>5.7949489601119889E-4</v>
      </c>
      <c r="S39" s="524">
        <f>'7&amp;8 SU'!$N316+'7&amp;8 SU'!$AA316</f>
        <v>1.1316301284821206E-3</v>
      </c>
      <c r="T39" s="509">
        <f>B39*'Market Data'!$C$52+H39*'Market Data'!$M$52+N39*'Market Data'!$W$52</f>
        <v>0.29238206358673324</v>
      </c>
      <c r="U39" s="290">
        <f>SUM(C39:G39)*'Market Data'!$C$52+SUM(I39:M39)*'Market Data'!$M$52+SUM(O39:S39)*'Market Data'!$W$52</f>
        <v>0.70761793641326665</v>
      </c>
    </row>
    <row r="40" spans="1:26" ht="15" x14ac:dyDescent="0.25">
      <c r="A40" s="275">
        <v>2038</v>
      </c>
      <c r="B40" s="522">
        <f t="shared" si="6"/>
        <v>7.1619978413384744E-2</v>
      </c>
      <c r="C40" s="523">
        <f>'7&amp;8 Sleep'!$N107+'7&amp;8 Sleep'!$AA107</f>
        <v>0.49871498408612136</v>
      </c>
      <c r="D40" s="523">
        <f>'7&amp;8 Sleep'!$N159+'7&amp;8 Sleep'!$AA159</f>
        <v>0.4296650375004939</v>
      </c>
      <c r="E40" s="523">
        <f>'7&amp;8 Sleep'!$N211+'7&amp;8 Sleep'!$AA211</f>
        <v>0</v>
      </c>
      <c r="F40" s="523">
        <f>'7&amp;8 Sleep'!$N264+'7&amp;8 Sleep'!$AA264</f>
        <v>0</v>
      </c>
      <c r="G40" s="524">
        <f>'7&amp;8 Sleep'!$N317+'7&amp;8 Sleep'!$AA317</f>
        <v>0</v>
      </c>
      <c r="H40" s="505">
        <f t="shared" si="7"/>
        <v>0.44972387857146823</v>
      </c>
      <c r="I40" s="505">
        <f>'7&amp;8 Day'!$N107+'7&amp;8 Day'!$AA107</f>
        <v>0.29941747306702671</v>
      </c>
      <c r="J40" s="505">
        <f>'7&amp;8 Day'!$N159+'7&amp;8 Day'!$AA159</f>
        <v>0.25032628248714967</v>
      </c>
      <c r="K40" s="505">
        <f>'7&amp;8 Day'!$N211+'7&amp;8 Day'!$AA211</f>
        <v>0</v>
      </c>
      <c r="L40" s="505">
        <f>'7&amp;8 Day'!$N264+'7&amp;8 Day'!$AA264</f>
        <v>0</v>
      </c>
      <c r="M40" s="505">
        <f>'7&amp;8 Day'!$N317+'7&amp;8 Day'!$AA317</f>
        <v>5.3236587435535041E-4</v>
      </c>
      <c r="N40" s="522">
        <f t="shared" si="8"/>
        <v>0.49069355122943414</v>
      </c>
      <c r="O40" s="523">
        <f>'7&amp;8 SU'!$N107+'7&amp;8 SU'!$AA107</f>
        <v>0.15813435257968939</v>
      </c>
      <c r="P40" s="523">
        <f>'7&amp;8 SU'!$N159+'7&amp;8 SU'!$AA159</f>
        <v>0.34884909709583384</v>
      </c>
      <c r="Q40" s="523">
        <f>'7&amp;8 SU'!$N211+'7&amp;8 SU'!$AA211</f>
        <v>0</v>
      </c>
      <c r="R40" s="523">
        <f>'7&amp;8 SU'!$N264+'7&amp;8 SU'!$AA264</f>
        <v>9.6048182129094498E-4</v>
      </c>
      <c r="S40" s="524">
        <f>'7&amp;8 SU'!$N317+'7&amp;8 SU'!$AA317</f>
        <v>1.3625172737517222E-3</v>
      </c>
      <c r="T40" s="509">
        <f>B40*'Market Data'!$C$52+H40*'Market Data'!$M$52+N40*'Market Data'!$W$52</f>
        <v>0.28062487786492052</v>
      </c>
      <c r="U40" s="290">
        <f>SUM(C40:G40)*'Market Data'!$C$52+SUM(I40:M40)*'Market Data'!$M$52+SUM(O40:S40)*'Market Data'!$W$52</f>
        <v>0.71937512213507948</v>
      </c>
    </row>
    <row r="41" spans="1:26" ht="15" x14ac:dyDescent="0.25">
      <c r="A41" s="275">
        <v>2039</v>
      </c>
      <c r="B41" s="522">
        <f t="shared" si="6"/>
        <v>6.7595747828143704E-2</v>
      </c>
      <c r="C41" s="523">
        <f>'7&amp;8 Sleep'!$N108+'7&amp;8 Sleep'!$AA108</f>
        <v>0.49642853095549566</v>
      </c>
      <c r="D41" s="523">
        <f>'7&amp;8 Sleep'!$N160+'7&amp;8 Sleep'!$AA160</f>
        <v>0.43597572121636069</v>
      </c>
      <c r="E41" s="523">
        <f>'7&amp;8 Sleep'!$N212+'7&amp;8 Sleep'!$AA212</f>
        <v>0</v>
      </c>
      <c r="F41" s="523">
        <f>'7&amp;8 Sleep'!$N265+'7&amp;8 Sleep'!$AA265</f>
        <v>0</v>
      </c>
      <c r="G41" s="524">
        <f>'7&amp;8 Sleep'!$N318+'7&amp;8 Sleep'!$AA318</f>
        <v>0</v>
      </c>
      <c r="H41" s="505">
        <f t="shared" si="7"/>
        <v>0.43865091615885943</v>
      </c>
      <c r="I41" s="505">
        <f>'7&amp;8 Day'!$N108+'7&amp;8 Day'!$AA108</f>
        <v>0.30351492457901486</v>
      </c>
      <c r="J41" s="505">
        <f>'7&amp;8 Day'!$N160+'7&amp;8 Day'!$AA160</f>
        <v>0.25671435773811735</v>
      </c>
      <c r="K41" s="505">
        <f>'7&amp;8 Day'!$N212+'7&amp;8 Day'!$AA212</f>
        <v>0</v>
      </c>
      <c r="L41" s="505">
        <f>'7&amp;8 Day'!$N265+'7&amp;8 Day'!$AA265</f>
        <v>1.3494705178263612E-5</v>
      </c>
      <c r="M41" s="505">
        <f>'7&amp;8 Day'!$N318+'7&amp;8 Day'!$AA318</f>
        <v>1.1063068188300682E-3</v>
      </c>
      <c r="N41" s="522">
        <f t="shared" si="8"/>
        <v>0.43025720044390958</v>
      </c>
      <c r="O41" s="523">
        <f>'7&amp;8 SU'!$N108+'7&amp;8 SU'!$AA108</f>
        <v>0.18901870416975508</v>
      </c>
      <c r="P41" s="523">
        <f>'7&amp;8 SU'!$N160+'7&amp;8 SU'!$AA160</f>
        <v>0.37738118750079991</v>
      </c>
      <c r="Q41" s="523">
        <f>'7&amp;8 SU'!$N212+'7&amp;8 SU'!$AA212</f>
        <v>0</v>
      </c>
      <c r="R41" s="523">
        <f>'7&amp;8 SU'!$N265+'7&amp;8 SU'!$AA265</f>
        <v>1.5319557225705654E-3</v>
      </c>
      <c r="S41" s="524">
        <f>'7&amp;8 SU'!$N318+'7&amp;8 SU'!$AA318</f>
        <v>1.8109521629647387E-3</v>
      </c>
      <c r="T41" s="509">
        <f>B41*'Market Data'!$C$52+H41*'Market Data'!$M$52+N41*'Market Data'!$W$52</f>
        <v>0.25968546235116985</v>
      </c>
      <c r="U41" s="290">
        <f>SUM(C41:G41)*'Market Data'!$C$52+SUM(I41:M41)*'Market Data'!$M$52+SUM(O41:S41)*'Market Data'!$W$52</f>
        <v>0.74031453764883004</v>
      </c>
    </row>
    <row r="42" spans="1:26" ht="15" x14ac:dyDescent="0.25">
      <c r="A42" s="274">
        <v>2040</v>
      </c>
      <c r="B42" s="525">
        <f t="shared" si="6"/>
        <v>6.6360964074528406E-2</v>
      </c>
      <c r="C42" s="526">
        <f>'7&amp;8 Sleep'!$N109+'7&amp;8 Sleep'!$AA109</f>
        <v>0.49052549348431773</v>
      </c>
      <c r="D42" s="526">
        <f>'7&amp;8 Sleep'!$N161+'7&amp;8 Sleep'!$AA161</f>
        <v>0.44311354244115386</v>
      </c>
      <c r="E42" s="526">
        <f>'7&amp;8 Sleep'!$N213+'7&amp;8 Sleep'!$AA213</f>
        <v>0</v>
      </c>
      <c r="F42" s="526">
        <f>'7&amp;8 Sleep'!$N266+'7&amp;8 Sleep'!$AA266</f>
        <v>0</v>
      </c>
      <c r="G42" s="527">
        <f>'7&amp;8 Sleep'!$N319+'7&amp;8 Sleep'!$AA319</f>
        <v>0</v>
      </c>
      <c r="H42" s="688">
        <f t="shared" si="7"/>
        <v>0.43287311576333642</v>
      </c>
      <c r="I42" s="688">
        <f>'7&amp;8 Day'!$N109+'7&amp;8 Day'!$AA109</f>
        <v>0.30161580673400956</v>
      </c>
      <c r="J42" s="688">
        <f>'7&amp;8 Day'!$N161+'7&amp;8 Day'!$AA161</f>
        <v>0.26277805717247038</v>
      </c>
      <c r="K42" s="688">
        <f>'7&amp;8 Day'!$N213+'7&amp;8 Day'!$AA213</f>
        <v>0</v>
      </c>
      <c r="L42" s="688">
        <f>'7&amp;8 Day'!$N266+'7&amp;8 Day'!$AA266</f>
        <v>2.7982878155246422E-4</v>
      </c>
      <c r="M42" s="688">
        <f>'7&amp;8 Day'!$N319+'7&amp;8 Day'!$AA319</f>
        <v>2.4531915486312476E-3</v>
      </c>
      <c r="N42" s="522">
        <f t="shared" si="8"/>
        <v>0.36341761733135935</v>
      </c>
      <c r="O42" s="523">
        <f>'7&amp;8 SU'!$N109+'7&amp;8 SU'!$AA109</f>
        <v>0.21711093575159807</v>
      </c>
      <c r="P42" s="523">
        <f>'7&amp;8 SU'!$N161+'7&amp;8 SU'!$AA161</f>
        <v>0.41447494792158335</v>
      </c>
      <c r="Q42" s="523">
        <f>'7&amp;8 SU'!$N213+'7&amp;8 SU'!$AA213</f>
        <v>0</v>
      </c>
      <c r="R42" s="523">
        <f>'7&amp;8 SU'!$N266+'7&amp;8 SU'!$AA266</f>
        <v>2.4859633885679659E-3</v>
      </c>
      <c r="S42" s="524">
        <f>'7&amp;8 SU'!$N319+'7&amp;8 SU'!$AA319</f>
        <v>2.510535606891347E-3</v>
      </c>
      <c r="T42" s="510">
        <f>B42*'Market Data'!$C$52+H42*'Market Data'!$M$52+N42*'Market Data'!$W$52</f>
        <v>0.23971408698828911</v>
      </c>
      <c r="U42" s="293">
        <f>SUM(C42:G42)*'Market Data'!$C$52+SUM(I42:M42)*'Market Data'!$M$52+SUM(O42:S42)*'Market Data'!$W$52</f>
        <v>0.76028591301171078</v>
      </c>
    </row>
    <row r="43" spans="1:26" ht="15" x14ac:dyDescent="0.25">
      <c r="A43" s="275">
        <v>2041</v>
      </c>
      <c r="B43" s="530">
        <f t="shared" si="6"/>
        <v>6.3811851266458053E-2</v>
      </c>
      <c r="C43" s="531">
        <f>'7&amp;8 Sleep'!$N110+'7&amp;8 Sleep'!$AA110</f>
        <v>0.48636823743108876</v>
      </c>
      <c r="D43" s="531">
        <f>'7&amp;8 Sleep'!$N162+'7&amp;8 Sleep'!$AA162</f>
        <v>0.44981991130245313</v>
      </c>
      <c r="E43" s="531">
        <f>'7&amp;8 Sleep'!$N214+'7&amp;8 Sleep'!$AA214</f>
        <v>0</v>
      </c>
      <c r="F43" s="531">
        <f>'7&amp;8 Sleep'!$N267+'7&amp;8 Sleep'!$AA267</f>
        <v>0</v>
      </c>
      <c r="G43" s="532">
        <f>'7&amp;8 Sleep'!$N320+'7&amp;8 Sleep'!$AA320</f>
        <v>0</v>
      </c>
      <c r="H43" s="507">
        <f t="shared" si="7"/>
        <v>0.42443432019986438</v>
      </c>
      <c r="I43" s="507">
        <f>'7&amp;8 Day'!$N110+'7&amp;8 Day'!$AA110</f>
        <v>0.29911835264283099</v>
      </c>
      <c r="J43" s="507">
        <f>'7&amp;8 Day'!$N162+'7&amp;8 Day'!$AA162</f>
        <v>0.26772623707330873</v>
      </c>
      <c r="K43" s="507">
        <f>'7&amp;8 Day'!$N214+'7&amp;8 Day'!$AA214</f>
        <v>0</v>
      </c>
      <c r="L43" s="507">
        <f>'7&amp;8 Day'!$N267+'7&amp;8 Day'!$AA267</f>
        <v>2.6051365850849255E-3</v>
      </c>
      <c r="M43" s="507">
        <f>'7&amp;8 Day'!$N320+'7&amp;8 Day'!$AA320</f>
        <v>6.1159534989110786E-3</v>
      </c>
      <c r="N43" s="530">
        <f t="shared" si="8"/>
        <v>0.27349467378439574</v>
      </c>
      <c r="O43" s="531">
        <f>'7&amp;8 SU'!$N110+'7&amp;8 SU'!$AA110</f>
        <v>0.25125134900558671</v>
      </c>
      <c r="P43" s="531">
        <f>'7&amp;8 SU'!$N162+'7&amp;8 SU'!$AA162</f>
        <v>0.46699348022878073</v>
      </c>
      <c r="Q43" s="531">
        <f>'7&amp;8 SU'!$N214+'7&amp;8 SU'!$AA214</f>
        <v>0</v>
      </c>
      <c r="R43" s="531">
        <f>'7&amp;8 SU'!$N267+'7&amp;8 SU'!$AA267</f>
        <v>4.31554632361714E-3</v>
      </c>
      <c r="S43" s="532">
        <f>'7&amp;8 SU'!$N320+'7&amp;8 SU'!$AA320</f>
        <v>3.9449506576196168E-3</v>
      </c>
      <c r="T43" s="514">
        <f>B43*'Market Data'!$C$52+H43*'Market Data'!$M$52+N43*'Market Data'!$W$52</f>
        <v>0.21225233670994681</v>
      </c>
      <c r="U43" s="299">
        <f>SUM(C43:G43)*'Market Data'!$C$52+SUM(I43:M43)*'Market Data'!$M$52+SUM(O43:S43)*'Market Data'!$W$52</f>
        <v>0.78774766329005308</v>
      </c>
    </row>
    <row r="44" spans="1:26" ht="15" x14ac:dyDescent="0.25">
      <c r="A44" s="275">
        <v>2042</v>
      </c>
      <c r="B44" s="522">
        <f t="shared" si="6"/>
        <v>6.3953324993783367E-2</v>
      </c>
      <c r="C44" s="523">
        <f>'7&amp;8 Sleep'!$N111+'7&amp;8 Sleep'!$AA111</f>
        <v>0.48109472002289932</v>
      </c>
      <c r="D44" s="523">
        <f>'7&amp;8 Sleep'!$N163+'7&amp;8 Sleep'!$AA163</f>
        <v>0.45492892392921369</v>
      </c>
      <c r="E44" s="523">
        <f>'7&amp;8 Sleep'!$N215+'7&amp;8 Sleep'!$AA215</f>
        <v>0</v>
      </c>
      <c r="F44" s="523">
        <f>'7&amp;8 Sleep'!$N268+'7&amp;8 Sleep'!$AA268</f>
        <v>1.8216543184403909E-5</v>
      </c>
      <c r="G44" s="524">
        <f>'7&amp;8 Sleep'!$N321+'7&amp;8 Sleep'!$AA321</f>
        <v>4.8145109192006313E-6</v>
      </c>
      <c r="H44" s="505">
        <f t="shared" si="7"/>
        <v>0.41156492979801917</v>
      </c>
      <c r="I44" s="505">
        <f>'7&amp;8 Day'!$N111+'7&amp;8 Day'!$AA111</f>
        <v>0.2923638855463695</v>
      </c>
      <c r="J44" s="505">
        <f>'7&amp;8 Day'!$N163+'7&amp;8 Day'!$AA163</f>
        <v>0.26822383076601564</v>
      </c>
      <c r="K44" s="505">
        <f>'7&amp;8 Day'!$N215+'7&amp;8 Day'!$AA215</f>
        <v>0</v>
      </c>
      <c r="L44" s="505">
        <f>'7&amp;8 Day'!$N268+'7&amp;8 Day'!$AA268</f>
        <v>1.2724340345137922E-2</v>
      </c>
      <c r="M44" s="505">
        <f>'7&amp;8 Day'!$N321+'7&amp;8 Day'!$AA321</f>
        <v>1.5123013544457727E-2</v>
      </c>
      <c r="N44" s="522">
        <f t="shared" si="8"/>
        <v>0.17423174697414157</v>
      </c>
      <c r="O44" s="523">
        <f>'7&amp;8 SU'!$N111+'7&amp;8 SU'!$AA111</f>
        <v>0.29185663859339478</v>
      </c>
      <c r="P44" s="523">
        <f>'7&amp;8 SU'!$N163+'7&amp;8 SU'!$AA163</f>
        <v>0.51949853602222706</v>
      </c>
      <c r="Q44" s="523">
        <f>'7&amp;8 SU'!$N215+'7&amp;8 SU'!$AA215</f>
        <v>0</v>
      </c>
      <c r="R44" s="523">
        <f>'7&amp;8 SU'!$N268+'7&amp;8 SU'!$AA268</f>
        <v>7.6826159326073657E-3</v>
      </c>
      <c r="S44" s="524">
        <f>'7&amp;8 SU'!$N321+'7&amp;8 SU'!$AA321</f>
        <v>6.7304624776293141E-3</v>
      </c>
      <c r="T44" s="509">
        <f>B44*'Market Data'!$C$52+H44*'Market Data'!$M$52+N44*'Market Data'!$W$52</f>
        <v>0.18243636579823078</v>
      </c>
      <c r="U44" s="290">
        <f>SUM(C44:G44)*'Market Data'!$C$52+SUM(I44:M44)*'Market Data'!$M$52+SUM(O44:S44)*'Market Data'!$W$52</f>
        <v>0.81756363420176925</v>
      </c>
    </row>
    <row r="45" spans="1:26" ht="15" x14ac:dyDescent="0.25">
      <c r="A45" s="275">
        <v>2043</v>
      </c>
      <c r="B45" s="522">
        <f t="shared" si="6"/>
        <v>6.4626330234483609E-2</v>
      </c>
      <c r="C45" s="523">
        <f>'7&amp;8 Sleep'!$N112+'7&amp;8 Sleep'!$AA112</f>
        <v>0.47422789532941667</v>
      </c>
      <c r="D45" s="523">
        <f>'7&amp;8 Sleep'!$N164+'7&amp;8 Sleep'!$AA164</f>
        <v>0.45708146950889483</v>
      </c>
      <c r="E45" s="523">
        <f>'7&amp;8 Sleep'!$N216+'7&amp;8 Sleep'!$AA216</f>
        <v>0</v>
      </c>
      <c r="F45" s="523">
        <f>'7&amp;8 Sleep'!$N269+'7&amp;8 Sleep'!$AA269</f>
        <v>3.2869833974962801E-3</v>
      </c>
      <c r="G45" s="524">
        <f>'7&amp;8 Sleep'!$N322+'7&amp;8 Sleep'!$AA322</f>
        <v>7.7732152970857961E-4</v>
      </c>
      <c r="H45" s="505">
        <f t="shared" si="7"/>
        <v>0.40504439035306694</v>
      </c>
      <c r="I45" s="505">
        <f>'7&amp;8 Day'!$N112+'7&amp;8 Day'!$AA112</f>
        <v>0.27480195483448566</v>
      </c>
      <c r="J45" s="505">
        <f>'7&amp;8 Day'!$N164+'7&amp;8 Day'!$AA164</f>
        <v>0.25616409225867448</v>
      </c>
      <c r="K45" s="505">
        <f>'7&amp;8 Day'!$N216+'7&amp;8 Day'!$AA216</f>
        <v>0</v>
      </c>
      <c r="L45" s="505">
        <f>'7&amp;8 Day'!$N269+'7&amp;8 Day'!$AA269</f>
        <v>3.1464958837166809E-2</v>
      </c>
      <c r="M45" s="505">
        <f>'7&amp;8 Day'!$N322+'7&amp;8 Day'!$AA322</f>
        <v>3.252460371660619E-2</v>
      </c>
      <c r="N45" s="522">
        <f t="shared" si="8"/>
        <v>9.3673896565873549E-2</v>
      </c>
      <c r="O45" s="523">
        <f>'7&amp;8 SU'!$N112+'7&amp;8 SU'!$AA112</f>
        <v>0.33214190827507561</v>
      </c>
      <c r="P45" s="523">
        <f>'7&amp;8 SU'!$N164+'7&amp;8 SU'!$AA164</f>
        <v>0.54953936388383884</v>
      </c>
      <c r="Q45" s="523">
        <f>'7&amp;8 SU'!$N216+'7&amp;8 SU'!$AA216</f>
        <v>1.3216786198963876E-5</v>
      </c>
      <c r="R45" s="523">
        <f>'7&amp;8 SU'!$N269+'7&amp;8 SU'!$AA269</f>
        <v>1.2721592760867737E-2</v>
      </c>
      <c r="S45" s="524">
        <f>'7&amp;8 SU'!$N322+'7&amp;8 SU'!$AA322</f>
        <v>1.1910021728145384E-2</v>
      </c>
      <c r="T45" s="509">
        <f>B45*'Market Data'!$C$52+H45*'Market Data'!$M$52+N45*'Market Data'!$W$52</f>
        <v>0.15950869888695365</v>
      </c>
      <c r="U45" s="290">
        <f>SUM(C45:G45)*'Market Data'!$C$52+SUM(I45:M45)*'Market Data'!$M$52+SUM(O45:S45)*'Market Data'!$W$52</f>
        <v>0.84049130111304626</v>
      </c>
    </row>
    <row r="46" spans="1:26" ht="15" x14ac:dyDescent="0.25">
      <c r="A46" s="275">
        <v>2044</v>
      </c>
      <c r="B46" s="522">
        <f t="shared" si="6"/>
        <v>6.4692119601906461E-2</v>
      </c>
      <c r="C46" s="523">
        <f>'7&amp;8 Sleep'!$N113+'7&amp;8 Sleep'!$AA113</f>
        <v>0.45532440370820859</v>
      </c>
      <c r="D46" s="523">
        <f>'7&amp;8 Sleep'!$N165+'7&amp;8 Sleep'!$AA165</f>
        <v>0.44241782841059835</v>
      </c>
      <c r="E46" s="523">
        <f>'7&amp;8 Sleep'!$N217+'7&amp;8 Sleep'!$AA217</f>
        <v>0</v>
      </c>
      <c r="F46" s="523">
        <f>'7&amp;8 Sleep'!$N270+'7&amp;8 Sleep'!$AA270</f>
        <v>2.9776147823880592E-2</v>
      </c>
      <c r="G46" s="524">
        <f>'7&amp;8 Sleep'!$N323+'7&amp;8 Sleep'!$AA323</f>
        <v>7.7895004554060458E-3</v>
      </c>
      <c r="H46" s="505">
        <f t="shared" si="7"/>
        <v>0.39935761675979675</v>
      </c>
      <c r="I46" s="505">
        <f>'7&amp;8 Day'!$N113+'7&amp;8 Day'!$AA113</f>
        <v>0.24943376342797641</v>
      </c>
      <c r="J46" s="505">
        <f>'7&amp;8 Day'!$N165+'7&amp;8 Day'!$AA165</f>
        <v>0.23604931511665384</v>
      </c>
      <c r="K46" s="505">
        <f>'7&amp;8 Day'!$N217+'7&amp;8 Day'!$AA217</f>
        <v>6.6162574567056533E-4</v>
      </c>
      <c r="L46" s="505">
        <f>'7&amp;8 Day'!$N270+'7&amp;8 Day'!$AA270</f>
        <v>5.5582417336209125E-2</v>
      </c>
      <c r="M46" s="505">
        <f>'7&amp;8 Day'!$N323+'7&amp;8 Day'!$AA323</f>
        <v>5.891526161369328E-2</v>
      </c>
      <c r="N46" s="522">
        <f t="shared" si="8"/>
        <v>3.5991816226108031E-2</v>
      </c>
      <c r="O46" s="523">
        <f>'7&amp;8 SU'!$N113+'7&amp;8 SU'!$AA113</f>
        <v>0.36209040721287633</v>
      </c>
      <c r="P46" s="523">
        <f>'7&amp;8 SU'!$N165+'7&amp;8 SU'!$AA165</f>
        <v>0.55940547196233081</v>
      </c>
      <c r="Q46" s="523">
        <f>'7&amp;8 SU'!$N217+'7&amp;8 SU'!$AA217</f>
        <v>6.7679409095457394E-4</v>
      </c>
      <c r="R46" s="523">
        <f>'7&amp;8 SU'!$N270+'7&amp;8 SU'!$AA270</f>
        <v>2.0498767676597175E-2</v>
      </c>
      <c r="S46" s="524">
        <f>'7&amp;8 SU'!$N323+'7&amp;8 SU'!$AA323</f>
        <v>2.1336742831133102E-2</v>
      </c>
      <c r="T46" s="509">
        <f>B46*'Market Data'!$C$52+H46*'Market Data'!$M$52+N46*'Market Data'!$W$52</f>
        <v>0.14263312762329805</v>
      </c>
      <c r="U46" s="290">
        <f>SUM(C46:G46)*'Market Data'!$C$52+SUM(I46:M46)*'Market Data'!$M$52+SUM(O46:S46)*'Market Data'!$W$52</f>
        <v>0.85736687237670184</v>
      </c>
    </row>
    <row r="47" spans="1:26" ht="15" x14ac:dyDescent="0.25">
      <c r="A47" s="274">
        <v>2045</v>
      </c>
      <c r="B47" s="525">
        <f t="shared" si="6"/>
        <v>6.1727589197485666E-2</v>
      </c>
      <c r="C47" s="526">
        <f>'7&amp;8 Sleep'!$N114+'7&amp;8 Sleep'!$AA114</f>
        <v>0.4090658725127545</v>
      </c>
      <c r="D47" s="526">
        <f>'7&amp;8 Sleep'!$N166+'7&amp;8 Sleep'!$AA166</f>
        <v>0.39881895961030445</v>
      </c>
      <c r="E47" s="526">
        <f>'7&amp;8 Sleep'!$N218+'7&amp;8 Sleep'!$AA218</f>
        <v>3.2084544896466534E-3</v>
      </c>
      <c r="F47" s="526">
        <f>'7&amp;8 Sleep'!$N271+'7&amp;8 Sleep'!$AA271</f>
        <v>8.9571205758025435E-2</v>
      </c>
      <c r="G47" s="527">
        <f>'7&amp;8 Sleep'!$N324+'7&amp;8 Sleep'!$AA324</f>
        <v>3.7607918431783231E-2</v>
      </c>
      <c r="H47" s="506">
        <f t="shared" si="7"/>
        <v>0.39345097065040846</v>
      </c>
      <c r="I47" s="506">
        <f>'7&amp;8 Day'!$N114+'7&amp;8 Day'!$AA114</f>
        <v>0.22143166884512228</v>
      </c>
      <c r="J47" s="506">
        <f>'7&amp;8 Day'!$N166+'7&amp;8 Day'!$AA166</f>
        <v>0.21249075078742688</v>
      </c>
      <c r="K47" s="506">
        <f>'7&amp;8 Day'!$N218+'7&amp;8 Day'!$AA218</f>
        <v>7.7955230232864565E-3</v>
      </c>
      <c r="L47" s="506">
        <f>'7&amp;8 Day'!$N271+'7&amp;8 Day'!$AA271</f>
        <v>8.0025204806466396E-2</v>
      </c>
      <c r="M47" s="506">
        <f>'7&amp;8 Day'!$N324+'7&amp;8 Day'!$AA324</f>
        <v>8.4805881887289575E-2</v>
      </c>
      <c r="N47" s="525">
        <f t="shared" si="8"/>
        <v>8.9883176810978682E-3</v>
      </c>
      <c r="O47" s="526">
        <f>'7&amp;8 SU'!$N114+'7&amp;8 SU'!$AA114</f>
        <v>0.37526068135569468</v>
      </c>
      <c r="P47" s="526">
        <f>'7&amp;8 SU'!$N166+'7&amp;8 SU'!$AA166</f>
        <v>0.53934787263091499</v>
      </c>
      <c r="Q47" s="526">
        <f>'7&amp;8 SU'!$N218+'7&amp;8 SU'!$AA218</f>
        <v>4.879466205728311E-3</v>
      </c>
      <c r="R47" s="526">
        <f>'7&amp;8 SU'!$N271+'7&amp;8 SU'!$AA271</f>
        <v>3.2993192187563747E-2</v>
      </c>
      <c r="S47" s="527">
        <f>'7&amp;8 SU'!$N324+'7&amp;8 SU'!$AA324</f>
        <v>3.8530469939000299E-2</v>
      </c>
      <c r="T47" s="510">
        <f>B47*'Market Data'!$C$52+H47*'Market Data'!$M$52+N47*'Market Data'!$W$52</f>
        <v>0.13247626150723102</v>
      </c>
      <c r="U47" s="293">
        <f>SUM(C47:G47)*'Market Data'!$C$52+SUM(I47:M47)*'Market Data'!$M$52+SUM(O47:S47)*'Market Data'!$W$52</f>
        <v>0.86752373849276898</v>
      </c>
      <c r="V47" s="290">
        <f>D47*'Market Data'!$C$52+J47*'Market Data'!$M$52+P47*'Market Data'!$W$52</f>
        <v>0.38878890435826152</v>
      </c>
      <c r="W47" s="290">
        <f>E47*'Market Data'!$C$52+Q47*'Market Data'!$W$52</f>
        <v>2.8351528847511522E-3</v>
      </c>
      <c r="X47" s="290">
        <f>F47*'Market Data'!$C$52+L47*'Market Data'!$M$52</f>
        <v>6.313441180897407E-2</v>
      </c>
      <c r="Y47" s="290">
        <f>K47*'Market Data'!$M$52+R47*'Market Data'!$W$52</f>
        <v>1.0832808059219462E-2</v>
      </c>
      <c r="Z47" s="1127">
        <f>1-SUM(V47:Y47)</f>
        <v>0.53440872288879382</v>
      </c>
    </row>
    <row r="48" spans="1:26" ht="15" x14ac:dyDescent="0.25">
      <c r="A48" s="275">
        <v>2046</v>
      </c>
      <c r="B48" s="530">
        <f t="shared" si="6"/>
        <v>6.4985226170521271E-2</v>
      </c>
      <c r="C48" s="531">
        <f>'7&amp;8 Sleep'!$N115+'7&amp;8 Sleep'!$AA115</f>
        <v>0.35674733799987673</v>
      </c>
      <c r="D48" s="531">
        <f>'7&amp;8 Sleep'!$N167+'7&amp;8 Sleep'!$AA167</f>
        <v>0.34925280353628785</v>
      </c>
      <c r="E48" s="531">
        <f>'7&amp;8 Sleep'!$N219+'7&amp;8 Sleep'!$AA219</f>
        <v>2.2206324289511973E-2</v>
      </c>
      <c r="F48" s="531">
        <f>'7&amp;8 Sleep'!$N272+'7&amp;8 Sleep'!$AA272</f>
        <v>0.13405802268398639</v>
      </c>
      <c r="G48" s="532">
        <f>'7&amp;8 Sleep'!$N325+'7&amp;8 Sleep'!$AA325</f>
        <v>7.2750285319815908E-2</v>
      </c>
      <c r="H48" s="507">
        <f t="shared" si="7"/>
        <v>0.39259596032671351</v>
      </c>
      <c r="I48" s="507">
        <f>'7&amp;8 Day'!$N115+'7&amp;8 Day'!$AA115</f>
        <v>0.19806182709195991</v>
      </c>
      <c r="J48" s="507">
        <f>'7&amp;8 Day'!$N167+'7&amp;8 Day'!$AA167</f>
        <v>0.19298199309052858</v>
      </c>
      <c r="K48" s="507">
        <f>'7&amp;8 Day'!$N219+'7&amp;8 Day'!$AA219</f>
        <v>2.0150128621245801E-2</v>
      </c>
      <c r="L48" s="507">
        <f>'7&amp;8 Day'!$N272+'7&amp;8 Day'!$AA272</f>
        <v>9.3918340718712773E-2</v>
      </c>
      <c r="M48" s="507">
        <f>'7&amp;8 Day'!$N325+'7&amp;8 Day'!$AA325</f>
        <v>0.10229175015083941</v>
      </c>
      <c r="N48" s="530">
        <f t="shared" si="8"/>
        <v>3.5266352452634209E-4</v>
      </c>
      <c r="O48" s="531">
        <f>'7&amp;8 SU'!$N115+'7&amp;8 SU'!$AA115</f>
        <v>0.3694421538109196</v>
      </c>
      <c r="P48" s="531">
        <f>'7&amp;8 SU'!$N167+'7&amp;8 SU'!$AA167</f>
        <v>0.51111231505749721</v>
      </c>
      <c r="Q48" s="531">
        <f>'7&amp;8 SU'!$N219+'7&amp;8 SU'!$AA219</f>
        <v>1.5585811852700695E-2</v>
      </c>
      <c r="R48" s="531">
        <f>'7&amp;8 SU'!$N272+'7&amp;8 SU'!$AA272</f>
        <v>4.7379698924516128E-2</v>
      </c>
      <c r="S48" s="532">
        <f>'7&amp;8 SU'!$N325+'7&amp;8 SU'!$AA325</f>
        <v>5.6127356829840068E-2</v>
      </c>
      <c r="T48" s="514">
        <f>B48*'Market Data'!$C$52+H48*'Market Data'!$M$52+N48*'Market Data'!$W$52</f>
        <v>0.13149564448266454</v>
      </c>
      <c r="U48" s="299">
        <f>SUM(C48:G48)*'Market Data'!$C$52+SUM(I48:M48)*'Market Data'!$M$52+SUM(O48:S48)*'Market Data'!$W$52</f>
        <v>0.8685043555173354</v>
      </c>
    </row>
    <row r="49" spans="1:21" ht="15" x14ac:dyDescent="0.25">
      <c r="A49" s="275">
        <v>2047</v>
      </c>
      <c r="B49" s="522">
        <f t="shared" si="6"/>
        <v>6.2645974463083509E-2</v>
      </c>
      <c r="C49" s="523">
        <f>'7&amp;8 Sleep'!$N116+'7&amp;8 Sleep'!$AA116</f>
        <v>0.31670660253651028</v>
      </c>
      <c r="D49" s="523">
        <f>'7&amp;8 Sleep'!$N168+'7&amp;8 Sleep'!$AA168</f>
        <v>0.31034257742727117</v>
      </c>
      <c r="E49" s="523">
        <f>'7&amp;8 Sleep'!$N220+'7&amp;8 Sleep'!$AA220</f>
        <v>4.9820429617601095E-2</v>
      </c>
      <c r="F49" s="523">
        <f>'7&amp;8 Sleep'!$N273+'7&amp;8 Sleep'!$AA273</f>
        <v>0.16174175304840738</v>
      </c>
      <c r="G49" s="524">
        <f>'7&amp;8 Sleep'!$N326+'7&amp;8 Sleep'!$AA326</f>
        <v>9.8742662907126494E-2</v>
      </c>
      <c r="H49" s="505">
        <f t="shared" si="7"/>
        <v>0.38989837504109892</v>
      </c>
      <c r="I49" s="505">
        <f>'7&amp;8 Day'!$N116+'7&amp;8 Day'!$AA116</f>
        <v>0.18111935705476656</v>
      </c>
      <c r="J49" s="505">
        <f>'7&amp;8 Day'!$N168+'7&amp;8 Day'!$AA168</f>
        <v>0.17727632116418379</v>
      </c>
      <c r="K49" s="505">
        <f>'7&amp;8 Day'!$N220+'7&amp;8 Day'!$AA220</f>
        <v>3.1899176747119173E-2</v>
      </c>
      <c r="L49" s="505">
        <f>'7&amp;8 Day'!$N273+'7&amp;8 Day'!$AA273</f>
        <v>0.10579611994192124</v>
      </c>
      <c r="M49" s="505">
        <f>'7&amp;8 Day'!$N326+'7&amp;8 Day'!$AA326</f>
        <v>0.11401065005091036</v>
      </c>
      <c r="N49" s="522">
        <f t="shared" si="8"/>
        <v>1.5211859031027952E-4</v>
      </c>
      <c r="O49" s="523">
        <f>'7&amp;8 SU'!$N116+'7&amp;8 SU'!$AA116</f>
        <v>0.35865008582517777</v>
      </c>
      <c r="P49" s="523">
        <f>'7&amp;8 SU'!$N168+'7&amp;8 SU'!$AA168</f>
        <v>0.47350239648773446</v>
      </c>
      <c r="Q49" s="523">
        <f>'7&amp;8 SU'!$N220+'7&amp;8 SU'!$AA220</f>
        <v>3.5208951837046018E-2</v>
      </c>
      <c r="R49" s="523">
        <f>'7&amp;8 SU'!$N273+'7&amp;8 SU'!$AA273</f>
        <v>6.2297508763172568E-2</v>
      </c>
      <c r="S49" s="524">
        <f>'7&amp;8 SU'!$N326+'7&amp;8 SU'!$AA326</f>
        <v>7.0188938496558897E-2</v>
      </c>
      <c r="T49" s="509">
        <f>B49*'Market Data'!$C$52+H49*'Market Data'!$M$52+N49*'Market Data'!$W$52</f>
        <v>0.12963762376696605</v>
      </c>
      <c r="U49" s="290">
        <f>SUM(C49:G49)*'Market Data'!$C$52+SUM(I49:M49)*'Market Data'!$M$52+SUM(O49:S49)*'Market Data'!$W$52</f>
        <v>0.87036237623303392</v>
      </c>
    </row>
    <row r="50" spans="1:21" ht="15" x14ac:dyDescent="0.25">
      <c r="A50" s="275">
        <v>2048</v>
      </c>
      <c r="B50" s="522">
        <f t="shared" si="6"/>
        <v>6.2243800546589623E-2</v>
      </c>
      <c r="C50" s="523">
        <f>'7&amp;8 Sleep'!$N117+'7&amp;8 Sleep'!$AA117</f>
        <v>0.28958747852212374</v>
      </c>
      <c r="D50" s="523">
        <f>'7&amp;8 Sleep'!$N169+'7&amp;8 Sleep'!$AA169</f>
        <v>0.2843936972490485</v>
      </c>
      <c r="E50" s="523">
        <f>'7&amp;8 Sleep'!$N221+'7&amp;8 Sleep'!$AA221</f>
        <v>7.0351281248529463E-2</v>
      </c>
      <c r="F50" s="523">
        <f>'7&amp;8 Sleep'!$N274+'7&amp;8 Sleep'!$AA274</f>
        <v>0.1796926965373587</v>
      </c>
      <c r="G50" s="524">
        <f>'7&amp;8 Sleep'!$N327+'7&amp;8 Sleep'!$AA327</f>
        <v>0.11373104589635001</v>
      </c>
      <c r="H50" s="505">
        <f t="shared" si="7"/>
        <v>0.38668069734041699</v>
      </c>
      <c r="I50" s="505">
        <f>'7&amp;8 Day'!$N117+'7&amp;8 Day'!$AA117</f>
        <v>0.17122590493911358</v>
      </c>
      <c r="J50" s="505">
        <f>'7&amp;8 Day'!$N169+'7&amp;8 Day'!$AA169</f>
        <v>0.16827928711776771</v>
      </c>
      <c r="K50" s="505">
        <f>'7&amp;8 Day'!$N221+'7&amp;8 Day'!$AA221</f>
        <v>4.0182225168567419E-2</v>
      </c>
      <c r="L50" s="505">
        <f>'7&amp;8 Day'!$N274+'7&amp;8 Day'!$AA274</f>
        <v>0.11320536474966983</v>
      </c>
      <c r="M50" s="505">
        <f>'7&amp;8 Day'!$N327+'7&amp;8 Day'!$AA327</f>
        <v>0.12042652068446447</v>
      </c>
      <c r="N50" s="522">
        <f t="shared" si="8"/>
        <v>5.6101307340905571E-5</v>
      </c>
      <c r="O50" s="523">
        <f>'7&amp;8 SU'!$N117+'7&amp;8 SU'!$AA117</f>
        <v>0.34994891673290585</v>
      </c>
      <c r="P50" s="523">
        <f>'7&amp;8 SU'!$N169+'7&amp;8 SU'!$AA169</f>
        <v>0.44630120422582492</v>
      </c>
      <c r="Q50" s="523">
        <f>'7&amp;8 SU'!$N221+'7&amp;8 SU'!$AA221</f>
        <v>5.2479253492103507E-2</v>
      </c>
      <c r="R50" s="523">
        <f>'7&amp;8 SU'!$N274+'7&amp;8 SU'!$AA274</f>
        <v>7.3706619465516487E-2</v>
      </c>
      <c r="S50" s="524">
        <f>'7&amp;8 SU'!$N327+'7&amp;8 SU'!$AA327</f>
        <v>7.7507904776308437E-2</v>
      </c>
      <c r="T50" s="509">
        <f>B50*'Market Data'!$C$52+H50*'Market Data'!$M$52+N50*'Market Data'!$W$52</f>
        <v>0.12859707370559906</v>
      </c>
      <c r="U50" s="290">
        <f>SUM(C50:G50)*'Market Data'!$C$52+SUM(I50:M50)*'Market Data'!$M$52+SUM(O50:S50)*'Market Data'!$W$52</f>
        <v>0.87140292629440086</v>
      </c>
    </row>
    <row r="51" spans="1:21" ht="15" x14ac:dyDescent="0.25">
      <c r="A51" s="275">
        <v>2049</v>
      </c>
      <c r="B51" s="522">
        <f t="shared" si="6"/>
        <v>6.242100427336994E-2</v>
      </c>
      <c r="C51" s="523">
        <f>'7&amp;8 Sleep'!$N118+'7&amp;8 Sleep'!$AA118</f>
        <v>0.27387271850910738</v>
      </c>
      <c r="D51" s="523">
        <f>'7&amp;8 Sleep'!$N170+'7&amp;8 Sleep'!$AA170</f>
        <v>0.26921747950844854</v>
      </c>
      <c r="E51" s="523">
        <f>'7&amp;8 Sleep'!$N222+'7&amp;8 Sleep'!$AA222</f>
        <v>8.5392584796151652E-2</v>
      </c>
      <c r="F51" s="523">
        <f>'7&amp;8 Sleep'!$N275+'7&amp;8 Sleep'!$AA275</f>
        <v>0.18897778706260113</v>
      </c>
      <c r="G51" s="524">
        <f>'7&amp;8 Sleep'!$N328+'7&amp;8 Sleep'!$AA328</f>
        <v>0.12011842585032124</v>
      </c>
      <c r="H51" s="505">
        <f t="shared" si="7"/>
        <v>0.38039068375196505</v>
      </c>
      <c r="I51" s="505">
        <f>'7&amp;8 Day'!$N118+'7&amp;8 Day'!$AA118</f>
        <v>0.16634531141418757</v>
      </c>
      <c r="J51" s="505">
        <f>'7&amp;8 Day'!$N170+'7&amp;8 Day'!$AA170</f>
        <v>0.16455656903741786</v>
      </c>
      <c r="K51" s="505">
        <f>'7&amp;8 Day'!$N222+'7&amp;8 Day'!$AA222</f>
        <v>4.56923247372839E-2</v>
      </c>
      <c r="L51" s="505">
        <f>'7&amp;8 Day'!$N275+'7&amp;8 Day'!$AA275</f>
        <v>0.11867632597416006</v>
      </c>
      <c r="M51" s="505">
        <f>'7&amp;8 Day'!$N328+'7&amp;8 Day'!$AA328</f>
        <v>0.12433878508498553</v>
      </c>
      <c r="N51" s="522">
        <f t="shared" si="8"/>
        <v>1.5771251162144395E-5</v>
      </c>
      <c r="O51" s="523">
        <f>'7&amp;8 SU'!$N118+'7&amp;8 SU'!$AA118</f>
        <v>0.33973201981438844</v>
      </c>
      <c r="P51" s="523">
        <f>'7&amp;8 SU'!$N170+'7&amp;8 SU'!$AA170</f>
        <v>0.43016250610137224</v>
      </c>
      <c r="Q51" s="523">
        <f>'7&amp;8 SU'!$N222+'7&amp;8 SU'!$AA222</f>
        <v>6.752133042797151E-2</v>
      </c>
      <c r="R51" s="523">
        <f>'7&amp;8 SU'!$N275+'7&amp;8 SU'!$AA275</f>
        <v>8.1373106260021172E-2</v>
      </c>
      <c r="S51" s="524">
        <f>'7&amp;8 SU'!$N328+'7&amp;8 SU'!$AA328</f>
        <v>8.1195266145084544E-2</v>
      </c>
      <c r="T51" s="509">
        <f>B51*'Market Data'!$C$52+H51*'Market Data'!$M$52+N51*'Market Data'!$W$52</f>
        <v>0.12706126906098805</v>
      </c>
      <c r="U51" s="290">
        <f>SUM(C51:G51)*'Market Data'!$C$52+SUM(I51:M51)*'Market Data'!$M$52+SUM(O51:S51)*'Market Data'!$W$52</f>
        <v>0.87293873093901198</v>
      </c>
    </row>
    <row r="52" spans="1:21" ht="15.75" thickBot="1" x14ac:dyDescent="0.3">
      <c r="A52" s="276">
        <v>2050</v>
      </c>
      <c r="B52" s="533">
        <f t="shared" si="6"/>
        <v>6.2717410296127318E-2</v>
      </c>
      <c r="C52" s="534">
        <f>'7&amp;8 Sleep'!$N119+'7&amp;8 Sleep'!$AA119</f>
        <v>0.25487674243178532</v>
      </c>
      <c r="D52" s="534">
        <f>'7&amp;8 Sleep'!$N171+'7&amp;8 Sleep'!$AA171</f>
        <v>0.25107794685617713</v>
      </c>
      <c r="E52" s="534">
        <f>'7&amp;8 Sleep'!$N223+'7&amp;8 Sleep'!$AA223</f>
        <v>0.10412525928570945</v>
      </c>
      <c r="F52" s="534">
        <f>'7&amp;8 Sleep'!$N276+'7&amp;8 Sleep'!$AA276</f>
        <v>0.19662241617838311</v>
      </c>
      <c r="G52" s="535">
        <f>'7&amp;8 Sleep'!$N329+'7&amp;8 Sleep'!$AA329</f>
        <v>0.13058022495181762</v>
      </c>
      <c r="H52" s="508">
        <f t="shared" si="7"/>
        <v>0.37426104241591729</v>
      </c>
      <c r="I52" s="508">
        <f>'7&amp;8 Day'!$N119+'7&amp;8 Day'!$AA119</f>
        <v>0.15943738440817562</v>
      </c>
      <c r="J52" s="508">
        <f>'7&amp;8 Day'!$N171+'7&amp;8 Day'!$AA171</f>
        <v>0.15771344319888767</v>
      </c>
      <c r="K52" s="508">
        <f>'7&amp;8 Day'!$N223+'7&amp;8 Day'!$AA223</f>
        <v>5.4283410462712851E-2</v>
      </c>
      <c r="L52" s="508">
        <f>'7&amp;8 Day'!$N276+'7&amp;8 Day'!$AA276</f>
        <v>0.12501042921470107</v>
      </c>
      <c r="M52" s="508">
        <f>'7&amp;8 Day'!$N329+'7&amp;8 Day'!$AA329</f>
        <v>0.12929429029960551</v>
      </c>
      <c r="N52" s="533">
        <f t="shared" si="8"/>
        <v>1.496194542305318E-5</v>
      </c>
      <c r="O52" s="534">
        <f>'7&amp;8 SU'!$N119+'7&amp;8 SU'!$AA119</f>
        <v>0.31853882411113321</v>
      </c>
      <c r="P52" s="534">
        <f>'7&amp;8 SU'!$N171+'7&amp;8 SU'!$AA171</f>
        <v>0.38527119696502965</v>
      </c>
      <c r="Q52" s="534">
        <f>'7&amp;8 SU'!$N223+'7&amp;8 SU'!$AA223</f>
        <v>0.11132032561028905</v>
      </c>
      <c r="R52" s="534">
        <f>'7&amp;8 SU'!$N276+'7&amp;8 SU'!$AA276</f>
        <v>9.5307090683643514E-2</v>
      </c>
      <c r="S52" s="535">
        <f>'7&amp;8 SU'!$N329+'7&amp;8 SU'!$AA329</f>
        <v>8.954760068448156E-2</v>
      </c>
      <c r="T52" s="512">
        <f>B52*'Market Data'!$C$52+H52*'Market Data'!$M$52+N52*'Market Data'!$W$52</f>
        <v>0.12563385560308821</v>
      </c>
      <c r="U52" s="302">
        <f>SUM(C52:G52)*'Market Data'!$C$52+SUM(I52:M52)*'Market Data'!$M$52+SUM(O52:S52)*'Market Data'!$W$52</f>
        <v>0.87436614439691174</v>
      </c>
    </row>
    <row r="53" spans="1:21" x14ac:dyDescent="0.2">
      <c r="A53" s="270"/>
      <c r="B53" s="270"/>
    </row>
    <row r="54" spans="1:21" x14ac:dyDescent="0.2">
      <c r="A54" s="280" t="str">
        <f>"Run id: '"&amp;'Run Model'!B3&amp;"'"</f>
        <v>Run id: 'MDHD Benefits Analysis Preliminary Run 2020-08-27'</v>
      </c>
      <c r="B54" s="270"/>
    </row>
    <row r="55" spans="1:21" x14ac:dyDescent="0.2">
      <c r="A55" s="280" t="s">
        <v>126</v>
      </c>
      <c r="B55" s="270"/>
    </row>
    <row r="56" spans="1:21" x14ac:dyDescent="0.2">
      <c r="A56" s="320" t="str">
        <f>"Combination, Centrally Refueled: " &amp;TEXT(RtimeCls1Cent1,"mm/dd/yyyy hh:mm")</f>
        <v>Combination, Centrally Refueled: 11/04/2020 14:47</v>
      </c>
    </row>
    <row r="57" spans="1:21" x14ac:dyDescent="0.2">
      <c r="A57" s="320" t="str">
        <f>"Combination, Non-Centrally Refueled: " &amp;TEXT(RtimeCls1NCent1,"mm/dd/yyyy hh:mm")</f>
        <v>Combination, Non-Centrally Refueled: 11/04/2020 14:47</v>
      </c>
    </row>
    <row r="58" spans="1:21" x14ac:dyDescent="0.2">
      <c r="A58" s="320" t="str">
        <f>"Single Unit, Centrally Refueled: " &amp;TEXT(RtimeCls2Cent1,"mm/dd/yyyy hh:mm")</f>
        <v>Single Unit, Centrally Refueled: 11/04/2020 14:47</v>
      </c>
    </row>
    <row r="59" spans="1:21" x14ac:dyDescent="0.2">
      <c r="A59" s="320" t="str">
        <f>"Single Unit, Non-Centrally Refueled: " &amp;TEXT(RtimeCls2NCent1,"mm/dd/yyyy hh:mm")</f>
        <v>Single Unit, Non-Centrally Refueled: 11/04/2020 14:47</v>
      </c>
    </row>
  </sheetData>
  <mergeCells count="9">
    <mergeCell ref="A3:U3"/>
    <mergeCell ref="H4:M4"/>
    <mergeCell ref="H5:M5"/>
    <mergeCell ref="T5:U5"/>
    <mergeCell ref="T4:U4"/>
    <mergeCell ref="B5:G5"/>
    <mergeCell ref="B4:G4"/>
    <mergeCell ref="N5:S5"/>
    <mergeCell ref="N4:S4"/>
  </mergeCells>
  <phoneticPr fontId="52" type="noConversion"/>
  <conditionalFormatting sqref="B6:S52">
    <cfRule type="expression" dxfId="24"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M27" sqref="M27"/>
    </sheetView>
  </sheetViews>
  <sheetFormatPr defaultColWidth="9.140625" defaultRowHeight="12.75" x14ac:dyDescent="0.2"/>
  <cols>
    <col min="1" max="1" width="9.140625" style="269"/>
    <col min="2" max="2" width="14" style="269" customWidth="1"/>
    <col min="3" max="7" width="10.42578125" style="269" customWidth="1"/>
    <col min="8" max="8" width="13.5703125" style="269" customWidth="1"/>
    <col min="9" max="13" width="10.42578125" style="269" customWidth="1"/>
    <col min="14" max="14" width="13.140625" style="269" customWidth="1"/>
    <col min="15" max="15" width="11.28515625" style="269" bestFit="1" customWidth="1"/>
    <col min="16" max="16" width="11.5703125" style="269" customWidth="1"/>
    <col min="17" max="17" width="9.140625" style="269"/>
    <col min="18" max="18" width="13.28515625" style="269" customWidth="1"/>
    <col min="19" max="20" width="9.140625" style="269"/>
    <col min="21" max="21" width="11.42578125" style="269" customWidth="1"/>
    <col min="22" max="22" width="11.140625" style="269" customWidth="1"/>
    <col min="23" max="23" width="10.28515625" style="269" customWidth="1"/>
    <col min="24" max="24" width="13" style="269" customWidth="1"/>
    <col min="25" max="27" width="9.140625" style="269"/>
    <col min="28" max="28" width="10.42578125" style="269" customWidth="1"/>
    <col min="29" max="29" width="10.7109375" style="269" customWidth="1"/>
    <col min="30" max="30" width="13.28515625" style="269" customWidth="1"/>
    <col min="31" max="31" width="11.28515625" style="269" bestFit="1" customWidth="1"/>
    <col min="32" max="34" width="9.140625" style="269"/>
    <col min="35" max="35" width="10.140625" style="269" customWidth="1"/>
    <col min="36" max="36" width="14" style="269" customWidth="1"/>
    <col min="37" max="39" width="9.140625" style="269"/>
    <col min="40" max="40" width="10.140625" style="269" customWidth="1"/>
    <col min="41" max="41" width="10.42578125" style="269" customWidth="1"/>
    <col min="42" max="42" width="9.140625" style="269"/>
    <col min="43" max="43" width="12.140625" style="269" customWidth="1"/>
    <col min="44" max="16384" width="9.140625" style="269"/>
  </cols>
  <sheetData>
    <row r="1" spans="1:43" x14ac:dyDescent="0.2">
      <c r="A1" s="708" t="s">
        <v>261</v>
      </c>
    </row>
    <row r="2" spans="1:43" ht="13.5" thickBot="1" x14ac:dyDescent="0.25"/>
    <row r="3" spans="1:43" ht="19.5" customHeight="1" thickBot="1" x14ac:dyDescent="0.35">
      <c r="A3" s="1589" t="s">
        <v>150</v>
      </c>
      <c r="B3" s="1590"/>
      <c r="C3" s="1590"/>
      <c r="D3" s="1590"/>
      <c r="E3" s="1590"/>
      <c r="F3" s="1590"/>
      <c r="G3" s="1590"/>
      <c r="H3" s="1590"/>
      <c r="I3" s="1590"/>
      <c r="J3" s="1590"/>
      <c r="K3" s="1590"/>
      <c r="L3" s="1590"/>
      <c r="M3" s="1590"/>
      <c r="N3" s="1590"/>
      <c r="O3" s="1590"/>
      <c r="P3" s="1590"/>
      <c r="Q3" s="1590"/>
      <c r="R3" s="1590"/>
      <c r="S3" s="1590"/>
      <c r="T3" s="1590"/>
      <c r="U3" s="1591"/>
      <c r="V3" s="696"/>
      <c r="W3" s="1592" t="s">
        <v>185</v>
      </c>
      <c r="X3" s="1593"/>
      <c r="Y3" s="1593"/>
      <c r="Z3" s="1593"/>
      <c r="AA3" s="1593"/>
      <c r="AB3" s="1593"/>
      <c r="AC3" s="1593"/>
      <c r="AD3" s="1593"/>
      <c r="AE3" s="1593"/>
      <c r="AF3" s="1593"/>
      <c r="AG3" s="1593"/>
      <c r="AH3" s="1593"/>
      <c r="AI3" s="1593"/>
      <c r="AJ3" s="1593"/>
      <c r="AK3" s="1593"/>
      <c r="AL3" s="1593"/>
      <c r="AM3" s="1593"/>
      <c r="AN3" s="1593"/>
      <c r="AO3" s="1593"/>
      <c r="AP3" s="1593"/>
      <c r="AQ3" s="1594"/>
    </row>
    <row r="4" spans="1:43" ht="15" x14ac:dyDescent="0.25">
      <c r="A4" s="272"/>
      <c r="B4" s="1585" t="s">
        <v>249</v>
      </c>
      <c r="C4" s="1586"/>
      <c r="D4" s="1586"/>
      <c r="E4" s="1586"/>
      <c r="F4" s="1586"/>
      <c r="G4" s="1587"/>
      <c r="H4" s="1585" t="s">
        <v>250</v>
      </c>
      <c r="I4" s="1586"/>
      <c r="J4" s="1586"/>
      <c r="K4" s="1586"/>
      <c r="L4" s="1586"/>
      <c r="M4" s="1587"/>
      <c r="N4" s="1585" t="s">
        <v>154</v>
      </c>
      <c r="O4" s="1586"/>
      <c r="P4" s="1586"/>
      <c r="Q4" s="1586"/>
      <c r="R4" s="1586"/>
      <c r="S4" s="1587"/>
      <c r="T4" s="1585" t="s">
        <v>153</v>
      </c>
      <c r="U4" s="1587"/>
      <c r="W4" s="272"/>
      <c r="X4" s="1585" t="s">
        <v>249</v>
      </c>
      <c r="Y4" s="1586"/>
      <c r="Z4" s="1586"/>
      <c r="AA4" s="1586"/>
      <c r="AB4" s="1586"/>
      <c r="AC4" s="1587"/>
      <c r="AD4" s="1585" t="s">
        <v>250</v>
      </c>
      <c r="AE4" s="1586"/>
      <c r="AF4" s="1586"/>
      <c r="AG4" s="1586"/>
      <c r="AH4" s="1586"/>
      <c r="AI4" s="1587"/>
      <c r="AJ4" s="1585" t="s">
        <v>154</v>
      </c>
      <c r="AK4" s="1586"/>
      <c r="AL4" s="1586"/>
      <c r="AM4" s="1586"/>
      <c r="AN4" s="1586"/>
      <c r="AO4" s="1587"/>
      <c r="AP4" s="1585" t="s">
        <v>153</v>
      </c>
      <c r="AQ4" s="1587"/>
    </row>
    <row r="5" spans="1:43" ht="15" x14ac:dyDescent="0.25">
      <c r="A5" s="273"/>
      <c r="B5" s="1582" t="s">
        <v>129</v>
      </c>
      <c r="C5" s="1583"/>
      <c r="D5" s="1583"/>
      <c r="E5" s="1583"/>
      <c r="F5" s="1583"/>
      <c r="G5" s="1584"/>
      <c r="H5" s="1582" t="s">
        <v>129</v>
      </c>
      <c r="I5" s="1583"/>
      <c r="J5" s="1583"/>
      <c r="K5" s="1583"/>
      <c r="L5" s="1583"/>
      <c r="M5" s="1584"/>
      <c r="N5" s="1582" t="s">
        <v>129</v>
      </c>
      <c r="O5" s="1583"/>
      <c r="P5" s="1583"/>
      <c r="Q5" s="1583"/>
      <c r="R5" s="1583"/>
      <c r="S5" s="1584"/>
      <c r="T5" s="1588" t="s">
        <v>129</v>
      </c>
      <c r="U5" s="1579"/>
      <c r="W5" s="273"/>
      <c r="X5" s="1582" t="s">
        <v>129</v>
      </c>
      <c r="Y5" s="1583"/>
      <c r="Z5" s="1583"/>
      <c r="AA5" s="1583"/>
      <c r="AB5" s="1583"/>
      <c r="AC5" s="1584"/>
      <c r="AD5" s="1582" t="s">
        <v>129</v>
      </c>
      <c r="AE5" s="1583"/>
      <c r="AF5" s="1583"/>
      <c r="AG5" s="1583"/>
      <c r="AH5" s="1583"/>
      <c r="AI5" s="1584"/>
      <c r="AJ5" s="1582" t="s">
        <v>129</v>
      </c>
      <c r="AK5" s="1583"/>
      <c r="AL5" s="1583"/>
      <c r="AM5" s="1583"/>
      <c r="AN5" s="1583"/>
      <c r="AO5" s="1584"/>
      <c r="AP5" s="1588" t="s">
        <v>129</v>
      </c>
      <c r="AQ5" s="1579"/>
    </row>
    <row r="6" spans="1:43" ht="15" x14ac:dyDescent="0.25">
      <c r="A6" s="273"/>
      <c r="B6" s="943" t="s">
        <v>69</v>
      </c>
      <c r="C6" s="944" t="s">
        <v>65</v>
      </c>
      <c r="D6" s="944" t="s">
        <v>66</v>
      </c>
      <c r="E6" s="944" t="s">
        <v>67</v>
      </c>
      <c r="F6" s="944" t="s">
        <v>205</v>
      </c>
      <c r="G6" s="945" t="s">
        <v>206</v>
      </c>
      <c r="H6" s="943" t="s">
        <v>69</v>
      </c>
      <c r="I6" s="944" t="s">
        <v>65</v>
      </c>
      <c r="J6" s="944" t="s">
        <v>66</v>
      </c>
      <c r="K6" s="944" t="s">
        <v>67</v>
      </c>
      <c r="L6" s="944" t="s">
        <v>205</v>
      </c>
      <c r="M6" s="945" t="s">
        <v>206</v>
      </c>
      <c r="N6" s="943" t="s">
        <v>69</v>
      </c>
      <c r="O6" s="944" t="s">
        <v>65</v>
      </c>
      <c r="P6" s="944" t="s">
        <v>66</v>
      </c>
      <c r="Q6" s="944" t="s">
        <v>67</v>
      </c>
      <c r="R6" s="944" t="s">
        <v>205</v>
      </c>
      <c r="S6" s="945" t="s">
        <v>206</v>
      </c>
      <c r="T6" s="495"/>
      <c r="U6" s="497"/>
      <c r="W6" s="273"/>
      <c r="X6" s="518" t="s">
        <v>69</v>
      </c>
      <c r="Y6" s="515" t="s">
        <v>65</v>
      </c>
      <c r="Z6" s="515" t="s">
        <v>66</v>
      </c>
      <c r="AA6" s="515" t="s">
        <v>67</v>
      </c>
      <c r="AB6" s="515" t="s">
        <v>205</v>
      </c>
      <c r="AC6" s="697" t="s">
        <v>206</v>
      </c>
      <c r="AD6" s="518" t="s">
        <v>69</v>
      </c>
      <c r="AE6" s="515" t="s">
        <v>65</v>
      </c>
      <c r="AF6" s="515" t="s">
        <v>66</v>
      </c>
      <c r="AG6" s="515" t="s">
        <v>67</v>
      </c>
      <c r="AH6" s="515" t="s">
        <v>205</v>
      </c>
      <c r="AI6" s="697" t="s">
        <v>206</v>
      </c>
      <c r="AJ6" s="518" t="s">
        <v>69</v>
      </c>
      <c r="AK6" s="515" t="s">
        <v>65</v>
      </c>
      <c r="AL6" s="515" t="s">
        <v>66</v>
      </c>
      <c r="AM6" s="515" t="s">
        <v>67</v>
      </c>
      <c r="AN6" s="515" t="s">
        <v>205</v>
      </c>
      <c r="AO6" s="517" t="s">
        <v>206</v>
      </c>
      <c r="AP6" s="495"/>
      <c r="AQ6" s="497"/>
    </row>
    <row r="7" spans="1:43" s="695" customFormat="1" ht="30" x14ac:dyDescent="0.2">
      <c r="A7" s="689"/>
      <c r="B7" s="946" t="str">
        <f t="shared" ref="B7:G7" si="0">INDEX(TECH_OPT_DESC_Cls1,MATCH(B6,TECH_OPT_ROWS_Cls1,0))</f>
        <v>Conventional Diesel ICE</v>
      </c>
      <c r="C7" s="947" t="str">
        <f t="shared" si="0"/>
        <v>Adv Conv</v>
      </c>
      <c r="D7" s="947" t="str">
        <f t="shared" si="0"/>
        <v>HEV</v>
      </c>
      <c r="E7" s="947" t="str">
        <f t="shared" si="0"/>
        <v>BEV</v>
      </c>
      <c r="F7" s="947" t="str">
        <f t="shared" si="0"/>
        <v>FCEV</v>
      </c>
      <c r="G7" s="948" t="str">
        <f t="shared" si="0"/>
        <v>PHEV</v>
      </c>
      <c r="H7" s="946" t="str">
        <f t="shared" ref="H7:M7" si="1">INDEX(TECH_OPT_DESC_Cls2,MATCH(H6,TECH_OPT_ROWS_Cls2,0))</f>
        <v>Conventional Diesel ICE</v>
      </c>
      <c r="I7" s="947" t="str">
        <f t="shared" si="1"/>
        <v>Adv Conv</v>
      </c>
      <c r="J7" s="947" t="str">
        <f t="shared" si="1"/>
        <v>HEV</v>
      </c>
      <c r="K7" s="947" t="str">
        <f t="shared" si="1"/>
        <v>BEV</v>
      </c>
      <c r="L7" s="947" t="str">
        <f t="shared" si="1"/>
        <v>FCEV</v>
      </c>
      <c r="M7" s="948" t="str">
        <f t="shared" si="1"/>
        <v>PHEV</v>
      </c>
      <c r="N7" s="946" t="str">
        <f t="shared" ref="N7:S7" si="2">INDEX(TECH_OPT_DESC_Cls3,MATCH(N6,TECH_OPT_ROWS_Cls3,0))</f>
        <v>Conventional Diesel ICE</v>
      </c>
      <c r="O7" s="947" t="str">
        <f t="shared" si="2"/>
        <v>Adv Conv</v>
      </c>
      <c r="P7" s="947" t="str">
        <f t="shared" si="2"/>
        <v>HEV</v>
      </c>
      <c r="Q7" s="947" t="str">
        <f t="shared" si="2"/>
        <v>BEV</v>
      </c>
      <c r="R7" s="947" t="str">
        <f t="shared" si="2"/>
        <v>FCEV</v>
      </c>
      <c r="S7" s="948" t="str">
        <f t="shared" si="2"/>
        <v>PHEV</v>
      </c>
      <c r="T7" s="706" t="s">
        <v>70</v>
      </c>
      <c r="U7" s="694" t="s">
        <v>138</v>
      </c>
      <c r="W7" s="689"/>
      <c r="X7" s="690" t="str">
        <f t="shared" ref="X7:AC7" si="3">INDEX(TECH_OPT_DESC_Cls1,MATCH(X6,TECH_OPT_ROWS_Cls1,0))</f>
        <v>Conventional Diesel ICE</v>
      </c>
      <c r="Y7" s="691" t="str">
        <f t="shared" si="3"/>
        <v>Adv Conv</v>
      </c>
      <c r="Z7" s="691" t="str">
        <f t="shared" si="3"/>
        <v>HEV</v>
      </c>
      <c r="AA7" s="704" t="str">
        <f t="shared" si="3"/>
        <v>BEV</v>
      </c>
      <c r="AB7" s="691" t="str">
        <f t="shared" si="3"/>
        <v>FCEV</v>
      </c>
      <c r="AC7" s="692" t="str">
        <f t="shared" si="3"/>
        <v>PHEV</v>
      </c>
      <c r="AD7" s="690" t="str">
        <f t="shared" ref="AD7:AI7" si="4">INDEX(TECH_OPT_DESC_Cls2,MATCH(AD6,TECH_OPT_ROWS_Cls2,0))</f>
        <v>Conventional Diesel ICE</v>
      </c>
      <c r="AE7" s="691" t="str">
        <f t="shared" si="4"/>
        <v>Adv Conv</v>
      </c>
      <c r="AF7" s="691" t="str">
        <f t="shared" si="4"/>
        <v>HEV</v>
      </c>
      <c r="AG7" s="704" t="str">
        <f t="shared" si="4"/>
        <v>BEV</v>
      </c>
      <c r="AH7" s="691" t="str">
        <f t="shared" si="4"/>
        <v>FCEV</v>
      </c>
      <c r="AI7" s="692" t="str">
        <f t="shared" si="4"/>
        <v>PHEV</v>
      </c>
      <c r="AJ7" s="690" t="str">
        <f t="shared" ref="AJ7:AO7" si="5">INDEX(TECH_OPT_DESC_Cls3,MATCH(AJ6,TECH_OPT_ROWS_Cls3,0))</f>
        <v>Conventional Diesel ICE</v>
      </c>
      <c r="AK7" s="691" t="str">
        <f t="shared" si="5"/>
        <v>Adv Conv</v>
      </c>
      <c r="AL7" s="691" t="str">
        <f t="shared" si="5"/>
        <v>HEV</v>
      </c>
      <c r="AM7" s="704" t="str">
        <f t="shared" si="5"/>
        <v>BEV</v>
      </c>
      <c r="AN7" s="691" t="str">
        <f t="shared" si="5"/>
        <v>FCEV</v>
      </c>
      <c r="AO7" s="705" t="str">
        <f t="shared" si="5"/>
        <v>PHEV</v>
      </c>
      <c r="AP7" s="706"/>
      <c r="AQ7" s="694"/>
    </row>
    <row r="8" spans="1:43" ht="30.75" thickBot="1" x14ac:dyDescent="0.3">
      <c r="A8" s="277" t="s">
        <v>3</v>
      </c>
      <c r="B8" s="949" t="str">
        <f t="shared" ref="B8:G8" si="6">INDEX(TECH_OPT_FUEL1_Cls1,MATCH(B6,TECH_OPT_ROWS_Cls1,0))</f>
        <v>Diesel</v>
      </c>
      <c r="C8" s="950" t="str">
        <f t="shared" si="6"/>
        <v>Diesel</v>
      </c>
      <c r="D8" s="950" t="str">
        <f t="shared" si="6"/>
        <v>Diesel</v>
      </c>
      <c r="E8" s="950" t="str">
        <f t="shared" si="6"/>
        <v>Electricity</v>
      </c>
      <c r="F8" s="950" t="str">
        <f t="shared" si="6"/>
        <v>Hydrogen</v>
      </c>
      <c r="G8" s="951" t="str">
        <f t="shared" si="6"/>
        <v>Diesel</v>
      </c>
      <c r="H8" s="949" t="str">
        <f t="shared" ref="H8:M8" si="7">INDEX(TECH_OPT_FUEL1_Cls2,MATCH(H6,TECH_OPT_ROWS_Cls2,0))</f>
        <v>Diesel</v>
      </c>
      <c r="I8" s="950" t="str">
        <f t="shared" si="7"/>
        <v>Diesel</v>
      </c>
      <c r="J8" s="950" t="str">
        <f t="shared" si="7"/>
        <v>Diesel</v>
      </c>
      <c r="K8" s="950" t="str">
        <f t="shared" si="7"/>
        <v>Electricity</v>
      </c>
      <c r="L8" s="950" t="str">
        <f t="shared" si="7"/>
        <v>Hydrogen</v>
      </c>
      <c r="M8" s="951" t="str">
        <f t="shared" si="7"/>
        <v>Diesel</v>
      </c>
      <c r="N8" s="949" t="str">
        <f t="shared" ref="N8:S8" si="8">INDEX(TECH_OPT_FUEL1_Cls3,MATCH(N6,TECH_OPT_ROWS_Cls3,0))</f>
        <v>Diesel</v>
      </c>
      <c r="O8" s="950" t="str">
        <f t="shared" si="8"/>
        <v>Diesel</v>
      </c>
      <c r="P8" s="950" t="str">
        <f t="shared" si="8"/>
        <v>Diesel</v>
      </c>
      <c r="Q8" s="950" t="str">
        <f t="shared" si="8"/>
        <v>Electricity</v>
      </c>
      <c r="R8" s="950" t="str">
        <f t="shared" si="8"/>
        <v>Hydrogen</v>
      </c>
      <c r="S8" s="951" t="str">
        <f t="shared" si="8"/>
        <v>Diesel</v>
      </c>
      <c r="T8" s="284"/>
      <c r="U8" s="283"/>
      <c r="W8" s="277" t="s">
        <v>3</v>
      </c>
      <c r="X8" s="528" t="str">
        <f t="shared" ref="X8:AC8" si="9">INDEX(TECH_OPT_FUEL1_Cls1,MATCH(X6,TECH_OPT_ROWS_Cls1,0))</f>
        <v>Diesel</v>
      </c>
      <c r="Y8" s="516" t="str">
        <f t="shared" si="9"/>
        <v>Diesel</v>
      </c>
      <c r="Z8" s="516" t="str">
        <f t="shared" si="9"/>
        <v>Diesel</v>
      </c>
      <c r="AA8" s="516" t="str">
        <f t="shared" si="9"/>
        <v>Electricity</v>
      </c>
      <c r="AB8" s="516" t="str">
        <f t="shared" si="9"/>
        <v>Hydrogen</v>
      </c>
      <c r="AC8" s="698" t="str">
        <f t="shared" si="9"/>
        <v>Diesel</v>
      </c>
      <c r="AD8" s="528" t="str">
        <f t="shared" ref="AD8:AI8" si="10">INDEX(TECH_OPT_FUEL1_Cls2,MATCH(AD6,TECH_OPT_ROWS_Cls2,0))</f>
        <v>Diesel</v>
      </c>
      <c r="AE8" s="516" t="str">
        <f t="shared" si="10"/>
        <v>Diesel</v>
      </c>
      <c r="AF8" s="516" t="str">
        <f t="shared" si="10"/>
        <v>Diesel</v>
      </c>
      <c r="AG8" s="516" t="str">
        <f t="shared" si="10"/>
        <v>Electricity</v>
      </c>
      <c r="AH8" s="516" t="str">
        <f t="shared" si="10"/>
        <v>Hydrogen</v>
      </c>
      <c r="AI8" s="698" t="str">
        <f t="shared" si="10"/>
        <v>Diesel</v>
      </c>
      <c r="AJ8" s="528" t="str">
        <f t="shared" ref="AJ8:AO8" si="11">INDEX(TECH_OPT_FUEL1_Cls3,MATCH(AJ6,TECH_OPT_ROWS_Cls3,0))</f>
        <v>Diesel</v>
      </c>
      <c r="AK8" s="516" t="str">
        <f t="shared" si="11"/>
        <v>Diesel</v>
      </c>
      <c r="AL8" s="516" t="str">
        <f t="shared" si="11"/>
        <v>Diesel</v>
      </c>
      <c r="AM8" s="516" t="str">
        <f t="shared" si="11"/>
        <v>Electricity</v>
      </c>
      <c r="AN8" s="516" t="str">
        <f t="shared" si="11"/>
        <v>Hydrogen</v>
      </c>
      <c r="AO8" s="529" t="str">
        <f t="shared" si="11"/>
        <v>Diesel</v>
      </c>
      <c r="AP8" s="284" t="s">
        <v>70</v>
      </c>
      <c r="AQ8" s="283" t="s">
        <v>138</v>
      </c>
    </row>
    <row r="9" spans="1:43" ht="15.75" thickTop="1" x14ac:dyDescent="0.25">
      <c r="A9" s="275">
        <v>2007</v>
      </c>
      <c r="B9" s="285">
        <f>1-SUM(C9:G9)</f>
        <v>1</v>
      </c>
      <c r="C9" s="286">
        <f>'7&amp;8 Sleep'!$M76+'7&amp;8 Sleep'!$Z76</f>
        <v>0</v>
      </c>
      <c r="D9" s="286">
        <f>'7&amp;8 Sleep'!$M128+'7&amp;8 Sleep'!$Z128</f>
        <v>0</v>
      </c>
      <c r="E9" s="546">
        <f>'7&amp;8 Sleep'!$M180+'7&amp;8 Sleep'!$Z180</f>
        <v>0</v>
      </c>
      <c r="F9" s="286">
        <f>'7&amp;8 Sleep'!$M233+'7&amp;8 Sleep'!$Z233</f>
        <v>0</v>
      </c>
      <c r="G9" s="504">
        <f>'7&amp;8 Sleep'!$M286+'7&amp;8 Sleep'!$Z286</f>
        <v>0</v>
      </c>
      <c r="H9" s="699">
        <f>1-SUM(I9:M9)</f>
        <v>1</v>
      </c>
      <c r="I9" s="504">
        <f>'7&amp;8 Day'!$M76+'7&amp;8 Day'!$Z76</f>
        <v>0</v>
      </c>
      <c r="J9" s="504">
        <f>'7&amp;8 Day'!$M128+'7&amp;8 Day'!$Z128</f>
        <v>0</v>
      </c>
      <c r="K9" s="504">
        <f>'7&amp;8 Day'!$M180+'7&amp;8 Day'!$Z180</f>
        <v>0</v>
      </c>
      <c r="L9" s="504">
        <f>'7&amp;8 Day'!$M233+'7&amp;8 Day'!$Z233</f>
        <v>0</v>
      </c>
      <c r="M9" s="551">
        <f>'7&amp;8 Day'!$M286+'7&amp;8 Day'!$Z286</f>
        <v>0</v>
      </c>
      <c r="N9" s="285">
        <f>1-SUM(O9:S9)</f>
        <v>1</v>
      </c>
      <c r="O9" s="286">
        <f>'7&amp;8 SU'!$M76+'7&amp;8 SU'!$Z76</f>
        <v>0</v>
      </c>
      <c r="P9" s="286">
        <f>'7&amp;8 SU'!$M128+'7&amp;8 SU'!$Z128</f>
        <v>0</v>
      </c>
      <c r="Q9" s="546">
        <f>'7&amp;8 SU'!$M180+'7&amp;8 SU'!$Z180</f>
        <v>0</v>
      </c>
      <c r="R9" s="286">
        <f>'7&amp;8 SU'!$M233+'7&amp;8 SU'!$Z233</f>
        <v>0</v>
      </c>
      <c r="S9" s="504">
        <f>'7&amp;8 SU'!$M286+'7&amp;8 SU'!$Z286</f>
        <v>0</v>
      </c>
      <c r="T9" s="285">
        <f>B9*'Market Data'!$E$52+N9*'Market Data'!$O$52</f>
        <v>0.91032159271242163</v>
      </c>
      <c r="U9" s="287">
        <f>SUM(C9:G9)*'Market Data'!$E$52+SUM(O9:S9)*'Market Data'!$O$52</f>
        <v>0</v>
      </c>
      <c r="W9" s="275">
        <v>2007</v>
      </c>
      <c r="X9" s="304">
        <f>IF('Market Penetration'!B9=0,0,1000*B9*'Market Data'!$E$51/('Market Penetration'!B9*'Market Data'!$C$51))</f>
        <v>114290.39175651137</v>
      </c>
      <c r="Y9" s="305">
        <f>IF('Market Penetration'!C9=0,0,1000*C9*'Market Data'!$E$51/('Market Penetration'!C9*'Market Data'!$C$51))</f>
        <v>0</v>
      </c>
      <c r="Z9" s="305">
        <f>IF('Market Penetration'!D9=0,0,1000*D9*'Market Data'!$E$51/('Market Penetration'!D9*'Market Data'!$C$51))</f>
        <v>0</v>
      </c>
      <c r="AA9" s="541">
        <f>IF('Market Penetration'!E9=0,0,1000*E9*'Market Data'!$E$51/('Market Penetration'!E9*'Market Data'!$C$51))</f>
        <v>0</v>
      </c>
      <c r="AB9" s="305">
        <f>IF('Market Penetration'!F9=0,0,1000*F9*'Market Data'!$E$51/('Market Penetration'!F9*'Market Data'!$C$51))</f>
        <v>0</v>
      </c>
      <c r="AC9" s="536">
        <f>IF('Market Penetration'!G9=0,0,1000*G9*'Market Data'!$E$51/('Market Penetration'!G9*'Market Data'!$C$51))</f>
        <v>0</v>
      </c>
      <c r="AD9" s="304">
        <f>IF('Market Penetration'!H9=0,0,1000*H9*'Market Data'!$O$51/('Market Penetration'!H9*'Market Data'!$M$51))</f>
        <v>76984.800905352895</v>
      </c>
      <c r="AE9" s="305">
        <f>IF('Market Penetration'!I9=0,0,1000*I9*'Market Data'!$O$51/('Market Penetration'!I9*'Market Data'!$M$51))</f>
        <v>0</v>
      </c>
      <c r="AF9" s="305">
        <f>IF('Market Penetration'!J9=0,0,1000*J9*'Market Data'!$O$51/('Market Penetration'!J9*'Market Data'!$M$51))</f>
        <v>0</v>
      </c>
      <c r="AG9" s="305">
        <f>IF('Market Penetration'!K9=0,0,1000*K9*'Market Data'!$O$51/('Market Penetration'!K9*'Market Data'!$M$51))</f>
        <v>0</v>
      </c>
      <c r="AH9" s="305">
        <f>IF('Market Penetration'!L9=0,0,1000*L9*'Market Data'!$O$51/('Market Penetration'!L9*'Market Data'!$M$51))</f>
        <v>0</v>
      </c>
      <c r="AI9" s="306">
        <f>IF('Market Penetration'!M9=0,0,1000*M9*'Market Data'!$O$51/('Market Penetration'!M9*'Market Data'!$M$51))</f>
        <v>0</v>
      </c>
      <c r="AJ9" s="304">
        <f>IF('Market Penetration'!N9=0,0,1000*N9*'Market Data'!$Y$51/('Market Penetration'!N9*'Market Data'!$W$51))</f>
        <v>27261.021505205488</v>
      </c>
      <c r="AK9" s="305">
        <f>IF('Market Penetration'!O9=0,0,1000*O9*'Market Data'!$Y$51/('Market Penetration'!O9*'Market Data'!$W$51))</f>
        <v>0</v>
      </c>
      <c r="AL9" s="305">
        <f>IF('Market Penetration'!P9=0,0,1000*P9*'Market Data'!$Y$51/('Market Penetration'!P9*'Market Data'!$W$51))</f>
        <v>0</v>
      </c>
      <c r="AM9" s="541">
        <f>IF('Market Penetration'!Q9=0,0,1000*Q9*'Market Data'!$Y$51/('Market Penetration'!Q9*'Market Data'!$W$51))</f>
        <v>0</v>
      </c>
      <c r="AN9" s="305">
        <f>IF('Market Penetration'!R9=0,0,1000*R9*'Market Data'!$Y$51/('Market Penetration'!R9*'Market Data'!$W$51))</f>
        <v>0</v>
      </c>
      <c r="AO9" s="536">
        <f>IF('Market Penetration'!S9=0,0,1000*S9*'Market Data'!$Y$51/('Market Penetration'!S9*'Market Data'!$W$51))</f>
        <v>0</v>
      </c>
      <c r="AP9" s="304">
        <f>IF('Market Penetration'!T9=0,0,1000*T9*('Market Data'!$E$51+'Market Data'!$O$51+'Market Data'!$Y$51)/('Market Penetration'!T9*('Market Data'!$C$51+'Market Data'!$M$51+'Market Data'!$W$51)))</f>
        <v>74129.118937560706</v>
      </c>
      <c r="AQ9" s="306">
        <f>IF('Market Penetration'!U9=0,0,1000*U9*('Market Data'!$E$51+'Market Data'!$O$51+'Market Data'!$Y$51)/('Market Penetration'!U9*('Market Data'!$C$51+'Market Data'!$M$51+'Market Data'!$W$51)))</f>
        <v>0</v>
      </c>
    </row>
    <row r="10" spans="1:43" ht="15" x14ac:dyDescent="0.25">
      <c r="A10" s="275">
        <v>2008</v>
      </c>
      <c r="B10" s="288">
        <f t="shared" ref="B10:B52" si="12">1-SUM(C10:G10)</f>
        <v>1</v>
      </c>
      <c r="C10" s="289">
        <f>'7&amp;8 Sleep'!$M77+'7&amp;8 Sleep'!$Z77</f>
        <v>0</v>
      </c>
      <c r="D10" s="289">
        <f>'7&amp;8 Sleep'!$M129+'7&amp;8 Sleep'!$Z129</f>
        <v>0</v>
      </c>
      <c r="E10" s="547">
        <f>'7&amp;8 Sleep'!$M181+'7&amp;8 Sleep'!$Z181</f>
        <v>0</v>
      </c>
      <c r="F10" s="289">
        <f>'7&amp;8 Sleep'!$M234+'7&amp;8 Sleep'!$Z234</f>
        <v>0</v>
      </c>
      <c r="G10" s="505">
        <f>'7&amp;8 Sleep'!$M287+'7&amp;8 Sleep'!$Z287</f>
        <v>0</v>
      </c>
      <c r="H10" s="700">
        <f t="shared" ref="H10:H52" si="13">1-SUM(I10:M10)</f>
        <v>1</v>
      </c>
      <c r="I10" s="505">
        <f>'7&amp;8 Day'!$M77+'7&amp;8 Day'!$Z77</f>
        <v>0</v>
      </c>
      <c r="J10" s="505">
        <f>'7&amp;8 Day'!$M129+'7&amp;8 Day'!$Z129</f>
        <v>0</v>
      </c>
      <c r="K10" s="505">
        <f>'7&amp;8 Day'!$M181+'7&amp;8 Day'!$Z181</f>
        <v>0</v>
      </c>
      <c r="L10" s="505">
        <f>'7&amp;8 Day'!$M234+'7&amp;8 Day'!$Z234</f>
        <v>0</v>
      </c>
      <c r="M10" s="552">
        <f>'7&amp;8 Day'!$M287+'7&amp;8 Day'!$Z287</f>
        <v>0</v>
      </c>
      <c r="N10" s="288">
        <f t="shared" ref="N10:N52" si="14">1-SUM(O10:S10)</f>
        <v>1</v>
      </c>
      <c r="O10" s="289">
        <f>'7&amp;8 SU'!$M77+'7&amp;8 SU'!$Z77</f>
        <v>0</v>
      </c>
      <c r="P10" s="289">
        <f>'7&amp;8 SU'!$M129+'7&amp;8 SU'!$Z129</f>
        <v>0</v>
      </c>
      <c r="Q10" s="547">
        <f>'7&amp;8 SU'!$M181+'7&amp;8 SU'!$Z181</f>
        <v>0</v>
      </c>
      <c r="R10" s="289">
        <f>'7&amp;8 SU'!$M234+'7&amp;8 SU'!$Z234</f>
        <v>0</v>
      </c>
      <c r="S10" s="505">
        <f>'7&amp;8 SU'!$M287+'7&amp;8 SU'!$Z287</f>
        <v>0</v>
      </c>
      <c r="T10" s="288">
        <f>B10*'Market Data'!$E$52+N10*'Market Data'!$O$52</f>
        <v>0.91032159271242163</v>
      </c>
      <c r="U10" s="290">
        <f>SUM(C10:G10)*'Market Data'!$E$52+SUM(O10:S10)*'Market Data'!$O$52</f>
        <v>0</v>
      </c>
      <c r="W10" s="275">
        <v>2008</v>
      </c>
      <c r="X10" s="307">
        <f>IF('Market Penetration'!B10=0,0,1000*B10*'Market Data'!$E$51/('Market Penetration'!B10*'Market Data'!$C$51))</f>
        <v>114290.39175651137</v>
      </c>
      <c r="Y10" s="308">
        <f>IF('Market Penetration'!C10=0,0,1000*C10*'Market Data'!$E$51/('Market Penetration'!C10*'Market Data'!$C$51))</f>
        <v>0</v>
      </c>
      <c r="Z10" s="308">
        <f>IF('Market Penetration'!D10=0,0,1000*D10*'Market Data'!$E$51/('Market Penetration'!D10*'Market Data'!$C$51))</f>
        <v>0</v>
      </c>
      <c r="AA10" s="542">
        <f>IF('Market Penetration'!E10=0,0,1000*E10*'Market Data'!$E$51/('Market Penetration'!E10*'Market Data'!$C$51))</f>
        <v>0</v>
      </c>
      <c r="AB10" s="308">
        <f>IF('Market Penetration'!F10=0,0,1000*F10*'Market Data'!$E$51/('Market Penetration'!F10*'Market Data'!$C$51))</f>
        <v>0</v>
      </c>
      <c r="AC10" s="537">
        <f>IF('Market Penetration'!G10=0,0,1000*G10*'Market Data'!$E$51/('Market Penetration'!G10*'Market Data'!$C$51))</f>
        <v>0</v>
      </c>
      <c r="AD10" s="307">
        <f>IF('Market Penetration'!H10=0,0,1000*H10*'Market Data'!$O$51/('Market Penetration'!H10*'Market Data'!$M$51))</f>
        <v>76984.800905352895</v>
      </c>
      <c r="AE10" s="308">
        <f>IF('Market Penetration'!I10=0,0,1000*I10*'Market Data'!$O$51/('Market Penetration'!I10*'Market Data'!$M$51))</f>
        <v>0</v>
      </c>
      <c r="AF10" s="308">
        <f>IF('Market Penetration'!J10=0,0,1000*J10*'Market Data'!$O$51/('Market Penetration'!J10*'Market Data'!$M$51))</f>
        <v>0</v>
      </c>
      <c r="AG10" s="308">
        <f>IF('Market Penetration'!K10=0,0,1000*K10*'Market Data'!$O$51/('Market Penetration'!K10*'Market Data'!$M$51))</f>
        <v>0</v>
      </c>
      <c r="AH10" s="308">
        <f>IF('Market Penetration'!L10=0,0,1000*L10*'Market Data'!$O$51/('Market Penetration'!L10*'Market Data'!$M$51))</f>
        <v>0</v>
      </c>
      <c r="AI10" s="309">
        <f>IF('Market Penetration'!M10=0,0,1000*M10*'Market Data'!$O$51/('Market Penetration'!M10*'Market Data'!$M$51))</f>
        <v>0</v>
      </c>
      <c r="AJ10" s="307">
        <f>IF('Market Penetration'!N10=0,0,1000*N10*'Market Data'!$Y$51/('Market Penetration'!N10*'Market Data'!$W$51))</f>
        <v>27261.021505205488</v>
      </c>
      <c r="AK10" s="308">
        <f>IF('Market Penetration'!O10=0,0,1000*O10*'Market Data'!$Y$51/('Market Penetration'!O10*'Market Data'!$W$51))</f>
        <v>0</v>
      </c>
      <c r="AL10" s="308">
        <f>IF('Market Penetration'!P10=0,0,1000*P10*'Market Data'!$Y$51/('Market Penetration'!P10*'Market Data'!$W$51))</f>
        <v>0</v>
      </c>
      <c r="AM10" s="542">
        <f>IF('Market Penetration'!Q10=0,0,1000*Q10*'Market Data'!$Y$51/('Market Penetration'!Q10*'Market Data'!$W$51))</f>
        <v>0</v>
      </c>
      <c r="AN10" s="308">
        <f>IF('Market Penetration'!R10=0,0,1000*R10*'Market Data'!$Y$51/('Market Penetration'!R10*'Market Data'!$W$51))</f>
        <v>0</v>
      </c>
      <c r="AO10" s="537">
        <f>IF('Market Penetration'!S10=0,0,1000*S10*'Market Data'!$Y$51/('Market Penetration'!S10*'Market Data'!$W$51))</f>
        <v>0</v>
      </c>
      <c r="AP10" s="307">
        <f>IF('Market Penetration'!T10=0,0,1000*T10*('Market Data'!$E$51+'Market Data'!$O$51+'Market Data'!$Y$51)/('Market Penetration'!T10*('Market Data'!$C$51+'Market Data'!$M$51+'Market Data'!$W$51)))</f>
        <v>74129.118937560706</v>
      </c>
      <c r="AQ10" s="309">
        <f>IF('Market Penetration'!U10=0,0,1000*U10*('Market Data'!$E$51+'Market Data'!$O$51+'Market Data'!$Y$51)/('Market Penetration'!U10*('Market Data'!$C$51+'Market Data'!$M$51+'Market Data'!$W$51)))</f>
        <v>0</v>
      </c>
    </row>
    <row r="11" spans="1:43" ht="15" x14ac:dyDescent="0.25">
      <c r="A11" s="275">
        <v>2009</v>
      </c>
      <c r="B11" s="288">
        <f t="shared" si="12"/>
        <v>1</v>
      </c>
      <c r="C11" s="289">
        <f>'7&amp;8 Sleep'!$M78+'7&amp;8 Sleep'!$Z78</f>
        <v>0</v>
      </c>
      <c r="D11" s="289">
        <f>'7&amp;8 Sleep'!$M130+'7&amp;8 Sleep'!$Z130</f>
        <v>0</v>
      </c>
      <c r="E11" s="547">
        <f>'7&amp;8 Sleep'!$M182+'7&amp;8 Sleep'!$Z182</f>
        <v>0</v>
      </c>
      <c r="F11" s="289">
        <f>'7&amp;8 Sleep'!$M235+'7&amp;8 Sleep'!$Z235</f>
        <v>0</v>
      </c>
      <c r="G11" s="505">
        <f>'7&amp;8 Sleep'!$M288+'7&amp;8 Sleep'!$Z288</f>
        <v>0</v>
      </c>
      <c r="H11" s="700">
        <f t="shared" si="13"/>
        <v>1</v>
      </c>
      <c r="I11" s="505">
        <f>'7&amp;8 Day'!$M78+'7&amp;8 Day'!$Z78</f>
        <v>0</v>
      </c>
      <c r="J11" s="505">
        <f>'7&amp;8 Day'!$M130+'7&amp;8 Day'!$Z130</f>
        <v>0</v>
      </c>
      <c r="K11" s="505">
        <f>'7&amp;8 Day'!$M182+'7&amp;8 Day'!$Z182</f>
        <v>0</v>
      </c>
      <c r="L11" s="505">
        <f>'7&amp;8 Day'!$M235+'7&amp;8 Day'!$Z235</f>
        <v>0</v>
      </c>
      <c r="M11" s="552">
        <f>'7&amp;8 Day'!$M288+'7&amp;8 Day'!$Z288</f>
        <v>0</v>
      </c>
      <c r="N11" s="288">
        <f t="shared" si="14"/>
        <v>1</v>
      </c>
      <c r="O11" s="289">
        <f>'7&amp;8 SU'!$M78+'7&amp;8 SU'!$Z78</f>
        <v>0</v>
      </c>
      <c r="P11" s="289">
        <f>'7&amp;8 SU'!$M130+'7&amp;8 SU'!$Z130</f>
        <v>0</v>
      </c>
      <c r="Q11" s="547">
        <f>'7&amp;8 SU'!$M182+'7&amp;8 SU'!$Z182</f>
        <v>0</v>
      </c>
      <c r="R11" s="289">
        <f>'7&amp;8 SU'!$M235+'7&amp;8 SU'!$Z235</f>
        <v>0</v>
      </c>
      <c r="S11" s="505">
        <f>'7&amp;8 SU'!$M288+'7&amp;8 SU'!$Z288</f>
        <v>0</v>
      </c>
      <c r="T11" s="288">
        <f>B11*'Market Data'!$E$52+N11*'Market Data'!$O$52</f>
        <v>0.91032159271242163</v>
      </c>
      <c r="U11" s="290">
        <f>SUM(C11:G11)*'Market Data'!$E$52+SUM(O11:S11)*'Market Data'!$O$52</f>
        <v>0</v>
      </c>
      <c r="W11" s="275">
        <v>2009</v>
      </c>
      <c r="X11" s="307">
        <f>IF('Market Penetration'!B11=0,0,1000*B11*'Market Data'!$E$51/('Market Penetration'!B11*'Market Data'!$C$51))</f>
        <v>114290.39175651137</v>
      </c>
      <c r="Y11" s="308">
        <f>IF('Market Penetration'!C11=0,0,1000*C11*'Market Data'!$E$51/('Market Penetration'!C11*'Market Data'!$C$51))</f>
        <v>0</v>
      </c>
      <c r="Z11" s="308">
        <f>IF('Market Penetration'!D11=0,0,1000*D11*'Market Data'!$E$51/('Market Penetration'!D11*'Market Data'!$C$51))</f>
        <v>0</v>
      </c>
      <c r="AA11" s="542">
        <f>IF('Market Penetration'!E11=0,0,1000*E11*'Market Data'!$E$51/('Market Penetration'!E11*'Market Data'!$C$51))</f>
        <v>0</v>
      </c>
      <c r="AB11" s="308">
        <f>IF('Market Penetration'!F11=0,0,1000*F11*'Market Data'!$E$51/('Market Penetration'!F11*'Market Data'!$C$51))</f>
        <v>0</v>
      </c>
      <c r="AC11" s="537">
        <f>IF('Market Penetration'!G11=0,0,1000*G11*'Market Data'!$E$51/('Market Penetration'!G11*'Market Data'!$C$51))</f>
        <v>0</v>
      </c>
      <c r="AD11" s="307">
        <f>IF('Market Penetration'!H11=0,0,1000*H11*'Market Data'!$O$51/('Market Penetration'!H11*'Market Data'!$M$51))</f>
        <v>76984.800905352895</v>
      </c>
      <c r="AE11" s="308">
        <f>IF('Market Penetration'!I11=0,0,1000*I11*'Market Data'!$O$51/('Market Penetration'!I11*'Market Data'!$M$51))</f>
        <v>0</v>
      </c>
      <c r="AF11" s="308">
        <f>IF('Market Penetration'!J11=0,0,1000*J11*'Market Data'!$O$51/('Market Penetration'!J11*'Market Data'!$M$51))</f>
        <v>0</v>
      </c>
      <c r="AG11" s="308">
        <f>IF('Market Penetration'!K11=0,0,1000*K11*'Market Data'!$O$51/('Market Penetration'!K11*'Market Data'!$M$51))</f>
        <v>0</v>
      </c>
      <c r="AH11" s="308">
        <f>IF('Market Penetration'!L11=0,0,1000*L11*'Market Data'!$O$51/('Market Penetration'!L11*'Market Data'!$M$51))</f>
        <v>0</v>
      </c>
      <c r="AI11" s="309">
        <f>IF('Market Penetration'!M11=0,0,1000*M11*'Market Data'!$O$51/('Market Penetration'!M11*'Market Data'!$M$51))</f>
        <v>0</v>
      </c>
      <c r="AJ11" s="307">
        <f>IF('Market Penetration'!N11=0,0,1000*N11*'Market Data'!$Y$51/('Market Penetration'!N11*'Market Data'!$W$51))</f>
        <v>27261.021505205488</v>
      </c>
      <c r="AK11" s="308">
        <f>IF('Market Penetration'!O11=0,0,1000*O11*'Market Data'!$Y$51/('Market Penetration'!O11*'Market Data'!$W$51))</f>
        <v>0</v>
      </c>
      <c r="AL11" s="308">
        <f>IF('Market Penetration'!P11=0,0,1000*P11*'Market Data'!$Y$51/('Market Penetration'!P11*'Market Data'!$W$51))</f>
        <v>0</v>
      </c>
      <c r="AM11" s="542">
        <f>IF('Market Penetration'!Q11=0,0,1000*Q11*'Market Data'!$Y$51/('Market Penetration'!Q11*'Market Data'!$W$51))</f>
        <v>0</v>
      </c>
      <c r="AN11" s="308">
        <f>IF('Market Penetration'!R11=0,0,1000*R11*'Market Data'!$Y$51/('Market Penetration'!R11*'Market Data'!$W$51))</f>
        <v>0</v>
      </c>
      <c r="AO11" s="537">
        <f>IF('Market Penetration'!S11=0,0,1000*S11*'Market Data'!$Y$51/('Market Penetration'!S11*'Market Data'!$W$51))</f>
        <v>0</v>
      </c>
      <c r="AP11" s="307">
        <f>IF('Market Penetration'!T11=0,0,1000*T11*('Market Data'!$E$51+'Market Data'!$O$51+'Market Data'!$Y$51)/('Market Penetration'!T11*('Market Data'!$C$51+'Market Data'!$M$51+'Market Data'!$W$51)))</f>
        <v>74129.118937560706</v>
      </c>
      <c r="AQ11" s="309">
        <f>IF('Market Penetration'!U11=0,0,1000*U11*('Market Data'!$E$51+'Market Data'!$O$51+'Market Data'!$Y$51)/('Market Penetration'!U11*('Market Data'!$C$51+'Market Data'!$M$51+'Market Data'!$W$51)))</f>
        <v>0</v>
      </c>
    </row>
    <row r="12" spans="1:43" ht="15" x14ac:dyDescent="0.25">
      <c r="A12" s="275">
        <v>2010</v>
      </c>
      <c r="B12" s="291">
        <f t="shared" si="12"/>
        <v>1</v>
      </c>
      <c r="C12" s="292">
        <f>'7&amp;8 Sleep'!$M79+'7&amp;8 Sleep'!$Z79</f>
        <v>0</v>
      </c>
      <c r="D12" s="292">
        <f>'7&amp;8 Sleep'!$M131+'7&amp;8 Sleep'!$Z131</f>
        <v>0</v>
      </c>
      <c r="E12" s="548">
        <f>'7&amp;8 Sleep'!$M183+'7&amp;8 Sleep'!$Z183</f>
        <v>0</v>
      </c>
      <c r="F12" s="292">
        <f>'7&amp;8 Sleep'!$M236+'7&amp;8 Sleep'!$Z236</f>
        <v>0</v>
      </c>
      <c r="G12" s="506">
        <f>'7&amp;8 Sleep'!$M289+'7&amp;8 Sleep'!$Z289</f>
        <v>0</v>
      </c>
      <c r="H12" s="701">
        <f t="shared" si="13"/>
        <v>1</v>
      </c>
      <c r="I12" s="506">
        <f>'7&amp;8 Day'!$M79+'7&amp;8 Day'!$Z79</f>
        <v>0</v>
      </c>
      <c r="J12" s="506">
        <f>'7&amp;8 Day'!$M131+'7&amp;8 Day'!$Z131</f>
        <v>0</v>
      </c>
      <c r="K12" s="506">
        <f>'7&amp;8 Day'!$M183+'7&amp;8 Day'!$Z183</f>
        <v>0</v>
      </c>
      <c r="L12" s="506">
        <f>'7&amp;8 Day'!$M236+'7&amp;8 Day'!$Z236</f>
        <v>0</v>
      </c>
      <c r="M12" s="553">
        <f>'7&amp;8 Day'!$M289+'7&amp;8 Day'!$Z289</f>
        <v>0</v>
      </c>
      <c r="N12" s="291">
        <f t="shared" si="14"/>
        <v>1</v>
      </c>
      <c r="O12" s="292">
        <f>'7&amp;8 SU'!$M79+'7&amp;8 SU'!$Z79</f>
        <v>0</v>
      </c>
      <c r="P12" s="292">
        <f>'7&amp;8 SU'!$M131+'7&amp;8 SU'!$Z131</f>
        <v>0</v>
      </c>
      <c r="Q12" s="548">
        <f>'7&amp;8 SU'!$M183+'7&amp;8 SU'!$Z183</f>
        <v>0</v>
      </c>
      <c r="R12" s="292">
        <f>'7&amp;8 SU'!$M236+'7&amp;8 SU'!$Z236</f>
        <v>0</v>
      </c>
      <c r="S12" s="506">
        <f>'7&amp;8 SU'!$M289+'7&amp;8 SU'!$Z289</f>
        <v>0</v>
      </c>
      <c r="T12" s="291">
        <f>B12*'Market Data'!$E$52+N12*'Market Data'!$O$52</f>
        <v>0.91032159271242163</v>
      </c>
      <c r="U12" s="293">
        <f>SUM(C12:G12)*'Market Data'!$E$52+SUM(O12:S12)*'Market Data'!$O$52</f>
        <v>0</v>
      </c>
      <c r="W12" s="275">
        <v>2010</v>
      </c>
      <c r="X12" s="310">
        <f>IF('Market Penetration'!B12=0,0,1000*B12*'Market Data'!$E$51/('Market Penetration'!B12*'Market Data'!$C$51))</f>
        <v>114290.39175651137</v>
      </c>
      <c r="Y12" s="311">
        <f>IF('Market Penetration'!C12=0,0,1000*C12*'Market Data'!$E$51/('Market Penetration'!C12*'Market Data'!$C$51))</f>
        <v>0</v>
      </c>
      <c r="Z12" s="311">
        <f>IF('Market Penetration'!D12=0,0,1000*D12*'Market Data'!$E$51/('Market Penetration'!D12*'Market Data'!$C$51))</f>
        <v>0</v>
      </c>
      <c r="AA12" s="543">
        <f>IF('Market Penetration'!E12=0,0,1000*E12*'Market Data'!$E$51/('Market Penetration'!E12*'Market Data'!$C$51))</f>
        <v>0</v>
      </c>
      <c r="AB12" s="311">
        <f>IF('Market Penetration'!F12=0,0,1000*F12*'Market Data'!$E$51/('Market Penetration'!F12*'Market Data'!$C$51))</f>
        <v>0</v>
      </c>
      <c r="AC12" s="538">
        <f>IF('Market Penetration'!G12=0,0,1000*G12*'Market Data'!$E$51/('Market Penetration'!G12*'Market Data'!$C$51))</f>
        <v>0</v>
      </c>
      <c r="AD12" s="310">
        <f>IF('Market Penetration'!H12=0,0,1000*H12*'Market Data'!$O$51/('Market Penetration'!H12*'Market Data'!$M$51))</f>
        <v>76984.800905352895</v>
      </c>
      <c r="AE12" s="311">
        <f>IF('Market Penetration'!I12=0,0,1000*I12*'Market Data'!$O$51/('Market Penetration'!I12*'Market Data'!$M$51))</f>
        <v>0</v>
      </c>
      <c r="AF12" s="311">
        <f>IF('Market Penetration'!J12=0,0,1000*J12*'Market Data'!$O$51/('Market Penetration'!J12*'Market Data'!$M$51))</f>
        <v>0</v>
      </c>
      <c r="AG12" s="311">
        <f>IF('Market Penetration'!K12=0,0,1000*K12*'Market Data'!$O$51/('Market Penetration'!K12*'Market Data'!$M$51))</f>
        <v>0</v>
      </c>
      <c r="AH12" s="311">
        <f>IF('Market Penetration'!L12=0,0,1000*L12*'Market Data'!$O$51/('Market Penetration'!L12*'Market Data'!$M$51))</f>
        <v>0</v>
      </c>
      <c r="AI12" s="312">
        <f>IF('Market Penetration'!M12=0,0,1000*M12*'Market Data'!$O$51/('Market Penetration'!M12*'Market Data'!$M$51))</f>
        <v>0</v>
      </c>
      <c r="AJ12" s="310">
        <f>IF('Market Penetration'!N12=0,0,1000*N12*'Market Data'!$Y$51/('Market Penetration'!N12*'Market Data'!$W$51))</f>
        <v>27261.021505205488</v>
      </c>
      <c r="AK12" s="311">
        <f>IF('Market Penetration'!O12=0,0,1000*O12*'Market Data'!$Y$51/('Market Penetration'!O12*'Market Data'!$W$51))</f>
        <v>0</v>
      </c>
      <c r="AL12" s="311">
        <f>IF('Market Penetration'!P12=0,0,1000*P12*'Market Data'!$Y$51/('Market Penetration'!P12*'Market Data'!$W$51))</f>
        <v>0</v>
      </c>
      <c r="AM12" s="543">
        <f>IF('Market Penetration'!Q12=0,0,1000*Q12*'Market Data'!$Y$51/('Market Penetration'!Q12*'Market Data'!$W$51))</f>
        <v>0</v>
      </c>
      <c r="AN12" s="311">
        <f>IF('Market Penetration'!R12=0,0,1000*R12*'Market Data'!$Y$51/('Market Penetration'!R12*'Market Data'!$W$51))</f>
        <v>0</v>
      </c>
      <c r="AO12" s="538">
        <f>IF('Market Penetration'!S12=0,0,1000*S12*'Market Data'!$Y$51/('Market Penetration'!S12*'Market Data'!$W$51))</f>
        <v>0</v>
      </c>
      <c r="AP12" s="310">
        <f>IF('Market Penetration'!T12=0,0,1000*T12*('Market Data'!$E$51+'Market Data'!$O$51+'Market Data'!$Y$51)/('Market Penetration'!T12*('Market Data'!$C$51+'Market Data'!$M$51+'Market Data'!$W$51)))</f>
        <v>74129.118937560706</v>
      </c>
      <c r="AQ12" s="312">
        <f>IF('Market Penetration'!U12=0,0,1000*U12*('Market Data'!$E$51+'Market Data'!$O$51+'Market Data'!$Y$51)/('Market Penetration'!U12*('Market Data'!$C$51+'Market Data'!$M$51+'Market Data'!$W$51)))</f>
        <v>0</v>
      </c>
    </row>
    <row r="13" spans="1:43" ht="15" x14ac:dyDescent="0.25">
      <c r="A13" s="294">
        <v>2011</v>
      </c>
      <c r="B13" s="295">
        <f t="shared" si="12"/>
        <v>1</v>
      </c>
      <c r="C13" s="296">
        <f>'7&amp;8 Sleep'!$M80+'7&amp;8 Sleep'!$Z80</f>
        <v>0</v>
      </c>
      <c r="D13" s="296">
        <f>'7&amp;8 Sleep'!$M132+'7&amp;8 Sleep'!$Z132</f>
        <v>0</v>
      </c>
      <c r="E13" s="549">
        <f>'7&amp;8 Sleep'!$M184+'7&amp;8 Sleep'!$Z184</f>
        <v>0</v>
      </c>
      <c r="F13" s="296">
        <f>'7&amp;8 Sleep'!$M237+'7&amp;8 Sleep'!$Z237</f>
        <v>0</v>
      </c>
      <c r="G13" s="507">
        <f>'7&amp;8 Sleep'!$M290+'7&amp;8 Sleep'!$Z290</f>
        <v>0</v>
      </c>
      <c r="H13" s="702">
        <f t="shared" si="13"/>
        <v>1</v>
      </c>
      <c r="I13" s="507">
        <f>'7&amp;8 Day'!$M80+'7&amp;8 Day'!$Z80</f>
        <v>0</v>
      </c>
      <c r="J13" s="507">
        <f>'7&amp;8 Day'!$M132+'7&amp;8 Day'!$Z132</f>
        <v>0</v>
      </c>
      <c r="K13" s="507">
        <f>'7&amp;8 Day'!$M184+'7&amp;8 Day'!$Z184</f>
        <v>0</v>
      </c>
      <c r="L13" s="507">
        <f>'7&amp;8 Day'!$M237+'7&amp;8 Day'!$Z237</f>
        <v>0</v>
      </c>
      <c r="M13" s="554">
        <f>'7&amp;8 Day'!$M290+'7&amp;8 Day'!$Z290</f>
        <v>0</v>
      </c>
      <c r="N13" s="295">
        <f t="shared" si="14"/>
        <v>1</v>
      </c>
      <c r="O13" s="296">
        <f>'7&amp;8 SU'!$M80+'7&amp;8 SU'!$Z80</f>
        <v>0</v>
      </c>
      <c r="P13" s="296">
        <f>'7&amp;8 SU'!$M132+'7&amp;8 SU'!$Z132</f>
        <v>0</v>
      </c>
      <c r="Q13" s="549">
        <f>'7&amp;8 SU'!$M184+'7&amp;8 SU'!$Z184</f>
        <v>0</v>
      </c>
      <c r="R13" s="296">
        <f>'7&amp;8 SU'!$M237+'7&amp;8 SU'!$Z237</f>
        <v>0</v>
      </c>
      <c r="S13" s="507">
        <f>'7&amp;8 SU'!$M290+'7&amp;8 SU'!$Z290</f>
        <v>0</v>
      </c>
      <c r="T13" s="298">
        <f>B13*'Market Data'!$E$52+N13*'Market Data'!$O$52</f>
        <v>0.91032159271242163</v>
      </c>
      <c r="U13" s="299">
        <f>SUM(C13:G13)*'Market Data'!$E$52+SUM(O13:S13)*'Market Data'!$O$52</f>
        <v>0</v>
      </c>
      <c r="W13" s="294">
        <v>2011</v>
      </c>
      <c r="X13" s="313">
        <f>IF('Market Penetration'!B13=0,0,1000*B13*'Market Data'!$E$51/('Market Penetration'!B13*'Market Data'!$C$51))</f>
        <v>114290.39175651137</v>
      </c>
      <c r="Y13" s="314">
        <f>IF('Market Penetration'!C13=0,0,1000*C13*'Market Data'!$E$51/('Market Penetration'!C13*'Market Data'!$C$51))</f>
        <v>0</v>
      </c>
      <c r="Z13" s="314">
        <f>IF('Market Penetration'!D13=0,0,1000*D13*'Market Data'!$E$51/('Market Penetration'!D13*'Market Data'!$C$51))</f>
        <v>0</v>
      </c>
      <c r="AA13" s="544">
        <f>IF('Market Penetration'!E13=0,0,1000*E13*'Market Data'!$E$51/('Market Penetration'!E13*'Market Data'!$C$51))</f>
        <v>0</v>
      </c>
      <c r="AB13" s="314">
        <f>IF('Market Penetration'!F13=0,0,1000*F13*'Market Data'!$E$51/('Market Penetration'!F13*'Market Data'!$C$51))</f>
        <v>0</v>
      </c>
      <c r="AC13" s="539">
        <f>IF('Market Penetration'!G13=0,0,1000*G13*'Market Data'!$E$51/('Market Penetration'!G13*'Market Data'!$C$51))</f>
        <v>0</v>
      </c>
      <c r="AD13" s="313">
        <f>IF('Market Penetration'!H13=0,0,1000*H13*'Market Data'!$O$51/('Market Penetration'!H13*'Market Data'!$M$51))</f>
        <v>76984.800905352895</v>
      </c>
      <c r="AE13" s="314">
        <f>IF('Market Penetration'!I13=0,0,1000*I13*'Market Data'!$O$51/('Market Penetration'!I13*'Market Data'!$M$51))</f>
        <v>0</v>
      </c>
      <c r="AF13" s="314">
        <f>IF('Market Penetration'!J13=0,0,1000*J13*'Market Data'!$O$51/('Market Penetration'!J13*'Market Data'!$M$51))</f>
        <v>0</v>
      </c>
      <c r="AG13" s="314">
        <f>IF('Market Penetration'!K13=0,0,1000*K13*'Market Data'!$O$51/('Market Penetration'!K13*'Market Data'!$M$51))</f>
        <v>0</v>
      </c>
      <c r="AH13" s="314">
        <f>IF('Market Penetration'!L13=0,0,1000*L13*'Market Data'!$O$51/('Market Penetration'!L13*'Market Data'!$M$51))</f>
        <v>0</v>
      </c>
      <c r="AI13" s="707">
        <f>IF('Market Penetration'!M13=0,0,1000*M13*'Market Data'!$O$51/('Market Penetration'!M13*'Market Data'!$M$51))</f>
        <v>0</v>
      </c>
      <c r="AJ13" s="313">
        <f>IF('Market Penetration'!N13=0,0,1000*N13*'Market Data'!$Y$51/('Market Penetration'!N13*'Market Data'!$W$51))</f>
        <v>27261.021505205488</v>
      </c>
      <c r="AK13" s="314">
        <f>IF('Market Penetration'!O13=0,0,1000*O13*'Market Data'!$Y$51/('Market Penetration'!O13*'Market Data'!$W$51))</f>
        <v>0</v>
      </c>
      <c r="AL13" s="314">
        <f>IF('Market Penetration'!P13=0,0,1000*P13*'Market Data'!$Y$51/('Market Penetration'!P13*'Market Data'!$W$51))</f>
        <v>0</v>
      </c>
      <c r="AM13" s="544">
        <f>IF('Market Penetration'!Q13=0,0,1000*Q13*'Market Data'!$Y$51/('Market Penetration'!Q13*'Market Data'!$W$51))</f>
        <v>0</v>
      </c>
      <c r="AN13" s="314">
        <f>IF('Market Penetration'!R13=0,0,1000*R13*'Market Data'!$Y$51/('Market Penetration'!R13*'Market Data'!$W$51))</f>
        <v>0</v>
      </c>
      <c r="AO13" s="539">
        <f>IF('Market Penetration'!S13=0,0,1000*S13*'Market Data'!$Y$51/('Market Penetration'!S13*'Market Data'!$W$51))</f>
        <v>0</v>
      </c>
      <c r="AP13" s="315">
        <f>IF('Market Penetration'!T13=0,0,1000*T13*('Market Data'!$E$51+'Market Data'!$O$51+'Market Data'!$Y$51)/('Market Penetration'!T13*('Market Data'!$C$51+'Market Data'!$M$51+'Market Data'!$W$51)))</f>
        <v>74129.118937560706</v>
      </c>
      <c r="AQ13" s="316">
        <f>IF('Market Penetration'!U13=0,0,1000*U13*('Market Data'!$E$51+'Market Data'!$O$51+'Market Data'!$Y$51)/('Market Penetration'!U13*('Market Data'!$C$51+'Market Data'!$M$51+'Market Data'!$W$51)))</f>
        <v>0</v>
      </c>
    </row>
    <row r="14" spans="1:43" ht="15" x14ac:dyDescent="0.25">
      <c r="A14" s="275">
        <v>2012</v>
      </c>
      <c r="B14" s="288">
        <f t="shared" si="12"/>
        <v>1</v>
      </c>
      <c r="C14" s="289">
        <f>'7&amp;8 Sleep'!$M81+'7&amp;8 Sleep'!$Z81</f>
        <v>0</v>
      </c>
      <c r="D14" s="289">
        <f>'7&amp;8 Sleep'!$M133+'7&amp;8 Sleep'!$Z133</f>
        <v>0</v>
      </c>
      <c r="E14" s="547">
        <f>'7&amp;8 Sleep'!$M185+'7&amp;8 Sleep'!$Z185</f>
        <v>0</v>
      </c>
      <c r="F14" s="289">
        <f>'7&amp;8 Sleep'!$M238+'7&amp;8 Sleep'!$Z238</f>
        <v>0</v>
      </c>
      <c r="G14" s="505">
        <f>'7&amp;8 Sleep'!$M291+'7&amp;8 Sleep'!$Z291</f>
        <v>0</v>
      </c>
      <c r="H14" s="700">
        <f t="shared" si="13"/>
        <v>1</v>
      </c>
      <c r="I14" s="505">
        <f>'7&amp;8 Day'!$M81+'7&amp;8 Day'!$Z81</f>
        <v>0</v>
      </c>
      <c r="J14" s="505">
        <f>'7&amp;8 Day'!$M133+'7&amp;8 Day'!$Z133</f>
        <v>0</v>
      </c>
      <c r="K14" s="505">
        <f>'7&amp;8 Day'!$M185+'7&amp;8 Day'!$Z185</f>
        <v>0</v>
      </c>
      <c r="L14" s="505">
        <f>'7&amp;8 Day'!$M238+'7&amp;8 Day'!$Z238</f>
        <v>0</v>
      </c>
      <c r="M14" s="552">
        <f>'7&amp;8 Day'!$M291+'7&amp;8 Day'!$Z291</f>
        <v>0</v>
      </c>
      <c r="N14" s="288">
        <f t="shared" si="14"/>
        <v>1</v>
      </c>
      <c r="O14" s="289">
        <f>'7&amp;8 SU'!$M81+'7&amp;8 SU'!$Z81</f>
        <v>0</v>
      </c>
      <c r="P14" s="289">
        <f>'7&amp;8 SU'!$M133+'7&amp;8 SU'!$Z133</f>
        <v>0</v>
      </c>
      <c r="Q14" s="547">
        <f>'7&amp;8 SU'!$M185+'7&amp;8 SU'!$Z185</f>
        <v>0</v>
      </c>
      <c r="R14" s="289">
        <f>'7&amp;8 SU'!$M238+'7&amp;8 SU'!$Z238</f>
        <v>0</v>
      </c>
      <c r="S14" s="505">
        <f>'7&amp;8 SU'!$M291+'7&amp;8 SU'!$Z291</f>
        <v>0</v>
      </c>
      <c r="T14" s="288">
        <f>B14*'Market Data'!$E$52+N14*'Market Data'!$O$52</f>
        <v>0.91032159271242163</v>
      </c>
      <c r="U14" s="290">
        <f>SUM(C14:G14)*'Market Data'!$E$52+SUM(O14:S14)*'Market Data'!$O$52</f>
        <v>0</v>
      </c>
      <c r="W14" s="275">
        <v>2012</v>
      </c>
      <c r="X14" s="307">
        <f>IF('Market Penetration'!B14=0,0,1000*B14*'Market Data'!$E$51/('Market Penetration'!B14*'Market Data'!$C$51))</f>
        <v>114290.39175651137</v>
      </c>
      <c r="Y14" s="308">
        <f>IF('Market Penetration'!C14=0,0,1000*C14*'Market Data'!$E$51/('Market Penetration'!C14*'Market Data'!$C$51))</f>
        <v>0</v>
      </c>
      <c r="Z14" s="308">
        <f>IF('Market Penetration'!D14=0,0,1000*D14*'Market Data'!$E$51/('Market Penetration'!D14*'Market Data'!$C$51))</f>
        <v>0</v>
      </c>
      <c r="AA14" s="542">
        <f>IF('Market Penetration'!E14=0,0,1000*E14*'Market Data'!$E$51/('Market Penetration'!E14*'Market Data'!$C$51))</f>
        <v>0</v>
      </c>
      <c r="AB14" s="308">
        <f>IF('Market Penetration'!F14=0,0,1000*F14*'Market Data'!$E$51/('Market Penetration'!F14*'Market Data'!$C$51))</f>
        <v>0</v>
      </c>
      <c r="AC14" s="537">
        <f>IF('Market Penetration'!G14=0,0,1000*G14*'Market Data'!$E$51/('Market Penetration'!G14*'Market Data'!$C$51))</f>
        <v>0</v>
      </c>
      <c r="AD14" s="307">
        <f>IF('Market Penetration'!H14=0,0,1000*H14*'Market Data'!$O$51/('Market Penetration'!H14*'Market Data'!$M$51))</f>
        <v>76984.800905352895</v>
      </c>
      <c r="AE14" s="308">
        <f>IF('Market Penetration'!I14=0,0,1000*I14*'Market Data'!$O$51/('Market Penetration'!I14*'Market Data'!$M$51))</f>
        <v>0</v>
      </c>
      <c r="AF14" s="308">
        <f>IF('Market Penetration'!J14=0,0,1000*J14*'Market Data'!$O$51/('Market Penetration'!J14*'Market Data'!$M$51))</f>
        <v>0</v>
      </c>
      <c r="AG14" s="308">
        <f>IF('Market Penetration'!K14=0,0,1000*K14*'Market Data'!$O$51/('Market Penetration'!K14*'Market Data'!$M$51))</f>
        <v>0</v>
      </c>
      <c r="AH14" s="308">
        <f>IF('Market Penetration'!L14=0,0,1000*L14*'Market Data'!$O$51/('Market Penetration'!L14*'Market Data'!$M$51))</f>
        <v>0</v>
      </c>
      <c r="AI14" s="309">
        <f>IF('Market Penetration'!M14=0,0,1000*M14*'Market Data'!$O$51/('Market Penetration'!M14*'Market Data'!$M$51))</f>
        <v>0</v>
      </c>
      <c r="AJ14" s="307">
        <f>IF('Market Penetration'!N14=0,0,1000*N14*'Market Data'!$Y$51/('Market Penetration'!N14*'Market Data'!$W$51))</f>
        <v>27261.021505205488</v>
      </c>
      <c r="AK14" s="308">
        <f>IF('Market Penetration'!O14=0,0,1000*O14*'Market Data'!$Y$51/('Market Penetration'!O14*'Market Data'!$W$51))</f>
        <v>0</v>
      </c>
      <c r="AL14" s="308">
        <f>IF('Market Penetration'!P14=0,0,1000*P14*'Market Data'!$Y$51/('Market Penetration'!P14*'Market Data'!$W$51))</f>
        <v>0</v>
      </c>
      <c r="AM14" s="542">
        <f>IF('Market Penetration'!Q14=0,0,1000*Q14*'Market Data'!$Y$51/('Market Penetration'!Q14*'Market Data'!$W$51))</f>
        <v>0</v>
      </c>
      <c r="AN14" s="308">
        <f>IF('Market Penetration'!R14=0,0,1000*R14*'Market Data'!$Y$51/('Market Penetration'!R14*'Market Data'!$W$51))</f>
        <v>0</v>
      </c>
      <c r="AO14" s="537">
        <f>IF('Market Penetration'!S14=0,0,1000*S14*'Market Data'!$Y$51/('Market Penetration'!S14*'Market Data'!$W$51))</f>
        <v>0</v>
      </c>
      <c r="AP14" s="307">
        <f>IF('Market Penetration'!T14=0,0,1000*T14*('Market Data'!$E$51+'Market Data'!$O$51+'Market Data'!$Y$51)/('Market Penetration'!T14*('Market Data'!$C$51+'Market Data'!$M$51+'Market Data'!$W$51)))</f>
        <v>74129.118937560706</v>
      </c>
      <c r="AQ14" s="309">
        <f>IF('Market Penetration'!U14=0,0,1000*U14*('Market Data'!$E$51+'Market Data'!$O$51+'Market Data'!$Y$51)/('Market Penetration'!U14*('Market Data'!$C$51+'Market Data'!$M$51+'Market Data'!$W$51)))</f>
        <v>0</v>
      </c>
    </row>
    <row r="15" spans="1:43" ht="15" x14ac:dyDescent="0.25">
      <c r="A15" s="275">
        <v>2013</v>
      </c>
      <c r="B15" s="288">
        <f t="shared" si="12"/>
        <v>1</v>
      </c>
      <c r="C15" s="289">
        <f>'7&amp;8 Sleep'!$M82+'7&amp;8 Sleep'!$Z82</f>
        <v>0</v>
      </c>
      <c r="D15" s="289">
        <f>'7&amp;8 Sleep'!$M134+'7&amp;8 Sleep'!$Z134</f>
        <v>0</v>
      </c>
      <c r="E15" s="547">
        <f>'7&amp;8 Sleep'!$M186+'7&amp;8 Sleep'!$Z186</f>
        <v>0</v>
      </c>
      <c r="F15" s="289">
        <f>'7&amp;8 Sleep'!$M239+'7&amp;8 Sleep'!$Z239</f>
        <v>0</v>
      </c>
      <c r="G15" s="505">
        <f>'7&amp;8 Sleep'!$M292+'7&amp;8 Sleep'!$Z292</f>
        <v>0</v>
      </c>
      <c r="H15" s="700">
        <f t="shared" si="13"/>
        <v>1</v>
      </c>
      <c r="I15" s="505">
        <f>'7&amp;8 Day'!$M82+'7&amp;8 Day'!$Z82</f>
        <v>0</v>
      </c>
      <c r="J15" s="505">
        <f>'7&amp;8 Day'!$M134+'7&amp;8 Day'!$Z134</f>
        <v>0</v>
      </c>
      <c r="K15" s="505">
        <f>'7&amp;8 Day'!$M186+'7&amp;8 Day'!$Z186</f>
        <v>0</v>
      </c>
      <c r="L15" s="505">
        <f>'7&amp;8 Day'!$M239+'7&amp;8 Day'!$Z239</f>
        <v>0</v>
      </c>
      <c r="M15" s="552">
        <f>'7&amp;8 Day'!$M292+'7&amp;8 Day'!$Z292</f>
        <v>0</v>
      </c>
      <c r="N15" s="288">
        <f t="shared" si="14"/>
        <v>1</v>
      </c>
      <c r="O15" s="289">
        <f>'7&amp;8 SU'!$M82+'7&amp;8 SU'!$Z82</f>
        <v>0</v>
      </c>
      <c r="P15" s="289">
        <f>'7&amp;8 SU'!$M134+'7&amp;8 SU'!$Z134</f>
        <v>0</v>
      </c>
      <c r="Q15" s="547">
        <f>'7&amp;8 SU'!$M186+'7&amp;8 SU'!$Z186</f>
        <v>0</v>
      </c>
      <c r="R15" s="289">
        <f>'7&amp;8 SU'!$M239+'7&amp;8 SU'!$Z239</f>
        <v>0</v>
      </c>
      <c r="S15" s="505">
        <f>'7&amp;8 SU'!$M292+'7&amp;8 SU'!$Z292</f>
        <v>0</v>
      </c>
      <c r="T15" s="288">
        <f>B15*'Market Data'!$E$52+N15*'Market Data'!$O$52</f>
        <v>0.91032159271242163</v>
      </c>
      <c r="U15" s="290">
        <f>SUM(C15:G15)*'Market Data'!$E$52+SUM(O15:S15)*'Market Data'!$O$52</f>
        <v>0</v>
      </c>
      <c r="W15" s="275">
        <v>2013</v>
      </c>
      <c r="X15" s="307">
        <f>IF('Market Penetration'!B15=0,0,1000*B15*'Market Data'!$E$51/('Market Penetration'!B15*'Market Data'!$C$51))</f>
        <v>114290.39175651137</v>
      </c>
      <c r="Y15" s="308">
        <f>IF('Market Penetration'!C15=0,0,1000*C15*'Market Data'!$E$51/('Market Penetration'!C15*'Market Data'!$C$51))</f>
        <v>0</v>
      </c>
      <c r="Z15" s="308">
        <f>IF('Market Penetration'!D15=0,0,1000*D15*'Market Data'!$E$51/('Market Penetration'!D15*'Market Data'!$C$51))</f>
        <v>0</v>
      </c>
      <c r="AA15" s="542">
        <f>IF('Market Penetration'!E15=0,0,1000*E15*'Market Data'!$E$51/('Market Penetration'!E15*'Market Data'!$C$51))</f>
        <v>0</v>
      </c>
      <c r="AB15" s="308">
        <f>IF('Market Penetration'!F15=0,0,1000*F15*'Market Data'!$E$51/('Market Penetration'!F15*'Market Data'!$C$51))</f>
        <v>0</v>
      </c>
      <c r="AC15" s="537">
        <f>IF('Market Penetration'!G15=0,0,1000*G15*'Market Data'!$E$51/('Market Penetration'!G15*'Market Data'!$C$51))</f>
        <v>0</v>
      </c>
      <c r="AD15" s="307">
        <f>IF('Market Penetration'!H15=0,0,1000*H15*'Market Data'!$O$51/('Market Penetration'!H15*'Market Data'!$M$51))</f>
        <v>76984.800905352895</v>
      </c>
      <c r="AE15" s="308">
        <f>IF('Market Penetration'!I15=0,0,1000*I15*'Market Data'!$O$51/('Market Penetration'!I15*'Market Data'!$M$51))</f>
        <v>0</v>
      </c>
      <c r="AF15" s="308">
        <f>IF('Market Penetration'!J15=0,0,1000*J15*'Market Data'!$O$51/('Market Penetration'!J15*'Market Data'!$M$51))</f>
        <v>0</v>
      </c>
      <c r="AG15" s="308">
        <f>IF('Market Penetration'!K15=0,0,1000*K15*'Market Data'!$O$51/('Market Penetration'!K15*'Market Data'!$M$51))</f>
        <v>0</v>
      </c>
      <c r="AH15" s="308">
        <f>IF('Market Penetration'!L15=0,0,1000*L15*'Market Data'!$O$51/('Market Penetration'!L15*'Market Data'!$M$51))</f>
        <v>0</v>
      </c>
      <c r="AI15" s="309">
        <f>IF('Market Penetration'!M15=0,0,1000*M15*'Market Data'!$O$51/('Market Penetration'!M15*'Market Data'!$M$51))</f>
        <v>0</v>
      </c>
      <c r="AJ15" s="307">
        <f>IF('Market Penetration'!N15=0,0,1000*N15*'Market Data'!$Y$51/('Market Penetration'!N15*'Market Data'!$W$51))</f>
        <v>27261.021505205488</v>
      </c>
      <c r="AK15" s="308">
        <f>IF('Market Penetration'!O15=0,0,1000*O15*'Market Data'!$Y$51/('Market Penetration'!O15*'Market Data'!$W$51))</f>
        <v>0</v>
      </c>
      <c r="AL15" s="308">
        <f>IF('Market Penetration'!P15=0,0,1000*P15*'Market Data'!$Y$51/('Market Penetration'!P15*'Market Data'!$W$51))</f>
        <v>0</v>
      </c>
      <c r="AM15" s="542">
        <f>IF('Market Penetration'!Q15=0,0,1000*Q15*'Market Data'!$Y$51/('Market Penetration'!Q15*'Market Data'!$W$51))</f>
        <v>0</v>
      </c>
      <c r="AN15" s="308">
        <f>IF('Market Penetration'!R15=0,0,1000*R15*'Market Data'!$Y$51/('Market Penetration'!R15*'Market Data'!$W$51))</f>
        <v>0</v>
      </c>
      <c r="AO15" s="537">
        <f>IF('Market Penetration'!S15=0,0,1000*S15*'Market Data'!$Y$51/('Market Penetration'!S15*'Market Data'!$W$51))</f>
        <v>0</v>
      </c>
      <c r="AP15" s="307">
        <f>IF('Market Penetration'!T15=0,0,1000*T15*('Market Data'!$E$51+'Market Data'!$O$51+'Market Data'!$Y$51)/('Market Penetration'!T15*('Market Data'!$C$51+'Market Data'!$M$51+'Market Data'!$W$51)))</f>
        <v>74129.118937560706</v>
      </c>
      <c r="AQ15" s="309">
        <f>IF('Market Penetration'!U15=0,0,1000*U15*('Market Data'!$E$51+'Market Data'!$O$51+'Market Data'!$Y$51)/('Market Penetration'!U15*('Market Data'!$C$51+'Market Data'!$M$51+'Market Data'!$W$51)))</f>
        <v>0</v>
      </c>
    </row>
    <row r="16" spans="1:43" ht="15" x14ac:dyDescent="0.25">
      <c r="A16" s="275">
        <v>2014</v>
      </c>
      <c r="B16" s="288">
        <f t="shared" si="12"/>
        <v>1</v>
      </c>
      <c r="C16" s="289">
        <f>'7&amp;8 Sleep'!$M83+'7&amp;8 Sleep'!$Z83</f>
        <v>0</v>
      </c>
      <c r="D16" s="289">
        <f>'7&amp;8 Sleep'!$M135+'7&amp;8 Sleep'!$Z135</f>
        <v>0</v>
      </c>
      <c r="E16" s="547">
        <f>'7&amp;8 Sleep'!$M187+'7&amp;8 Sleep'!$Z187</f>
        <v>0</v>
      </c>
      <c r="F16" s="289">
        <f>'7&amp;8 Sleep'!$M240+'7&amp;8 Sleep'!$Z240</f>
        <v>0</v>
      </c>
      <c r="G16" s="505">
        <f>'7&amp;8 Sleep'!$M293+'7&amp;8 Sleep'!$Z293</f>
        <v>0</v>
      </c>
      <c r="H16" s="700">
        <f t="shared" si="13"/>
        <v>1</v>
      </c>
      <c r="I16" s="505">
        <f>'7&amp;8 Day'!$M83+'7&amp;8 Day'!$Z83</f>
        <v>0</v>
      </c>
      <c r="J16" s="505">
        <f>'7&amp;8 Day'!$M135+'7&amp;8 Day'!$Z135</f>
        <v>0</v>
      </c>
      <c r="K16" s="505">
        <f>'7&amp;8 Day'!$M187+'7&amp;8 Day'!$Z187</f>
        <v>0</v>
      </c>
      <c r="L16" s="505">
        <f>'7&amp;8 Day'!$M240+'7&amp;8 Day'!$Z240</f>
        <v>0</v>
      </c>
      <c r="M16" s="552">
        <f>'7&amp;8 Day'!$M293+'7&amp;8 Day'!$Z293</f>
        <v>0</v>
      </c>
      <c r="N16" s="288">
        <f t="shared" si="14"/>
        <v>1</v>
      </c>
      <c r="O16" s="289">
        <f>'7&amp;8 SU'!$M83+'7&amp;8 SU'!$Z83</f>
        <v>0</v>
      </c>
      <c r="P16" s="289">
        <f>'7&amp;8 SU'!$M135+'7&amp;8 SU'!$Z135</f>
        <v>0</v>
      </c>
      <c r="Q16" s="547">
        <f>'7&amp;8 SU'!$M187+'7&amp;8 SU'!$Z187</f>
        <v>0</v>
      </c>
      <c r="R16" s="289">
        <f>'7&amp;8 SU'!$M240+'7&amp;8 SU'!$Z240</f>
        <v>0</v>
      </c>
      <c r="S16" s="505">
        <f>'7&amp;8 SU'!$M293+'7&amp;8 SU'!$Z293</f>
        <v>0</v>
      </c>
      <c r="T16" s="288">
        <f>B16*'Market Data'!$E$52+N16*'Market Data'!$O$52</f>
        <v>0.91032159271242163</v>
      </c>
      <c r="U16" s="290">
        <f>SUM(C16:G16)*'Market Data'!$E$52+SUM(O16:S16)*'Market Data'!$O$52</f>
        <v>0</v>
      </c>
      <c r="W16" s="275">
        <v>2014</v>
      </c>
      <c r="X16" s="307">
        <f>IF('Market Penetration'!B16=0,0,1000*B16*'Market Data'!$E$51/('Market Penetration'!B16*'Market Data'!$C$51))</f>
        <v>114290.39175651137</v>
      </c>
      <c r="Y16" s="308">
        <f>IF('Market Penetration'!C16=0,0,1000*C16*'Market Data'!$E$51/('Market Penetration'!C16*'Market Data'!$C$51))</f>
        <v>0</v>
      </c>
      <c r="Z16" s="308">
        <f>IF('Market Penetration'!D16=0,0,1000*D16*'Market Data'!$E$51/('Market Penetration'!D16*'Market Data'!$C$51))</f>
        <v>0</v>
      </c>
      <c r="AA16" s="542">
        <f>IF('Market Penetration'!E16=0,0,1000*E16*'Market Data'!$E$51/('Market Penetration'!E16*'Market Data'!$C$51))</f>
        <v>0</v>
      </c>
      <c r="AB16" s="308">
        <f>IF('Market Penetration'!F16=0,0,1000*F16*'Market Data'!$E$51/('Market Penetration'!F16*'Market Data'!$C$51))</f>
        <v>0</v>
      </c>
      <c r="AC16" s="537">
        <f>IF('Market Penetration'!G16=0,0,1000*G16*'Market Data'!$E$51/('Market Penetration'!G16*'Market Data'!$C$51))</f>
        <v>0</v>
      </c>
      <c r="AD16" s="307">
        <f>IF('Market Penetration'!H16=0,0,1000*H16*'Market Data'!$O$51/('Market Penetration'!H16*'Market Data'!$M$51))</f>
        <v>76984.800905352895</v>
      </c>
      <c r="AE16" s="308">
        <f>IF('Market Penetration'!I16=0,0,1000*I16*'Market Data'!$O$51/('Market Penetration'!I16*'Market Data'!$M$51))</f>
        <v>0</v>
      </c>
      <c r="AF16" s="308">
        <f>IF('Market Penetration'!J16=0,0,1000*J16*'Market Data'!$O$51/('Market Penetration'!J16*'Market Data'!$M$51))</f>
        <v>0</v>
      </c>
      <c r="AG16" s="308">
        <f>IF('Market Penetration'!K16=0,0,1000*K16*'Market Data'!$O$51/('Market Penetration'!K16*'Market Data'!$M$51))</f>
        <v>0</v>
      </c>
      <c r="AH16" s="308">
        <f>IF('Market Penetration'!L16=0,0,1000*L16*'Market Data'!$O$51/('Market Penetration'!L16*'Market Data'!$M$51))</f>
        <v>0</v>
      </c>
      <c r="AI16" s="309">
        <f>IF('Market Penetration'!M16=0,0,1000*M16*'Market Data'!$O$51/('Market Penetration'!M16*'Market Data'!$M$51))</f>
        <v>0</v>
      </c>
      <c r="AJ16" s="307">
        <f>IF('Market Penetration'!N16=0,0,1000*N16*'Market Data'!$Y$51/('Market Penetration'!N16*'Market Data'!$W$51))</f>
        <v>27261.021505205488</v>
      </c>
      <c r="AK16" s="308">
        <f>IF('Market Penetration'!O16=0,0,1000*O16*'Market Data'!$Y$51/('Market Penetration'!O16*'Market Data'!$W$51))</f>
        <v>0</v>
      </c>
      <c r="AL16" s="308">
        <f>IF('Market Penetration'!P16=0,0,1000*P16*'Market Data'!$Y$51/('Market Penetration'!P16*'Market Data'!$W$51))</f>
        <v>0</v>
      </c>
      <c r="AM16" s="542">
        <f>IF('Market Penetration'!Q16=0,0,1000*Q16*'Market Data'!$Y$51/('Market Penetration'!Q16*'Market Data'!$W$51))</f>
        <v>0</v>
      </c>
      <c r="AN16" s="308">
        <f>IF('Market Penetration'!R16=0,0,1000*R16*'Market Data'!$Y$51/('Market Penetration'!R16*'Market Data'!$W$51))</f>
        <v>0</v>
      </c>
      <c r="AO16" s="537">
        <f>IF('Market Penetration'!S16=0,0,1000*S16*'Market Data'!$Y$51/('Market Penetration'!S16*'Market Data'!$W$51))</f>
        <v>0</v>
      </c>
      <c r="AP16" s="307">
        <f>IF('Market Penetration'!T16=0,0,1000*T16*('Market Data'!$E$51+'Market Data'!$O$51+'Market Data'!$Y$51)/('Market Penetration'!T16*('Market Data'!$C$51+'Market Data'!$M$51+'Market Data'!$W$51)))</f>
        <v>74129.118937560706</v>
      </c>
      <c r="AQ16" s="309">
        <f>IF('Market Penetration'!U16=0,0,1000*U16*('Market Data'!$E$51+'Market Data'!$O$51+'Market Data'!$Y$51)/('Market Penetration'!U16*('Market Data'!$C$51+'Market Data'!$M$51+'Market Data'!$W$51)))</f>
        <v>0</v>
      </c>
    </row>
    <row r="17" spans="1:43" ht="15" x14ac:dyDescent="0.25">
      <c r="A17" s="274">
        <v>2015</v>
      </c>
      <c r="B17" s="291">
        <f t="shared" si="12"/>
        <v>1</v>
      </c>
      <c r="C17" s="292">
        <f>'7&amp;8 Sleep'!$M84+'7&amp;8 Sleep'!$Z84</f>
        <v>0</v>
      </c>
      <c r="D17" s="292">
        <f>'7&amp;8 Sleep'!$M136+'7&amp;8 Sleep'!$Z136</f>
        <v>0</v>
      </c>
      <c r="E17" s="548">
        <f>'7&amp;8 Sleep'!$M188+'7&amp;8 Sleep'!$Z188</f>
        <v>0</v>
      </c>
      <c r="F17" s="292">
        <f>'7&amp;8 Sleep'!$M241+'7&amp;8 Sleep'!$Z241</f>
        <v>0</v>
      </c>
      <c r="G17" s="506">
        <f>'7&amp;8 Sleep'!$M294+'7&amp;8 Sleep'!$Z294</f>
        <v>0</v>
      </c>
      <c r="H17" s="701">
        <f t="shared" si="13"/>
        <v>1</v>
      </c>
      <c r="I17" s="506">
        <f>'7&amp;8 Day'!$M84+'7&amp;8 Day'!$Z84</f>
        <v>0</v>
      </c>
      <c r="J17" s="506">
        <f>'7&amp;8 Day'!$M136+'7&amp;8 Day'!$Z136</f>
        <v>0</v>
      </c>
      <c r="K17" s="506">
        <f>'7&amp;8 Day'!$M188+'7&amp;8 Day'!$Z188</f>
        <v>0</v>
      </c>
      <c r="L17" s="506">
        <f>'7&amp;8 Day'!$M241+'7&amp;8 Day'!$Z241</f>
        <v>0</v>
      </c>
      <c r="M17" s="553">
        <f>'7&amp;8 Day'!$M294+'7&amp;8 Day'!$Z294</f>
        <v>0</v>
      </c>
      <c r="N17" s="291">
        <f t="shared" si="14"/>
        <v>1</v>
      </c>
      <c r="O17" s="292">
        <f>'7&amp;8 SU'!$M84+'7&amp;8 SU'!$Z84</f>
        <v>0</v>
      </c>
      <c r="P17" s="292">
        <f>'7&amp;8 SU'!$M136+'7&amp;8 SU'!$Z136</f>
        <v>0</v>
      </c>
      <c r="Q17" s="548">
        <f>'7&amp;8 SU'!$M188+'7&amp;8 SU'!$Z188</f>
        <v>0</v>
      </c>
      <c r="R17" s="292">
        <f>'7&amp;8 SU'!$M241+'7&amp;8 SU'!$Z241</f>
        <v>0</v>
      </c>
      <c r="S17" s="506">
        <f>'7&amp;8 SU'!$M294+'7&amp;8 SU'!$Z294</f>
        <v>0</v>
      </c>
      <c r="T17" s="291">
        <f>B17*'Market Data'!$E$52+H17*'Market Data'!$O$52+N17*+N17*'Market Data'!$Y$52</f>
        <v>1</v>
      </c>
      <c r="U17" s="293">
        <f>SUM(C17:G17)*'Market Data'!$E$52+SUM(I17:M17)*'Market Data'!$O$52+SUM(O17:S17)*+N17*'Market Data'!$Y$52</f>
        <v>0</v>
      </c>
      <c r="W17" s="274">
        <v>2015</v>
      </c>
      <c r="X17" s="310">
        <f>IF('Market Penetration'!B17=0,0,1000*B17*'Market Data'!$E$51/('Market Penetration'!B17*'Market Data'!$C$51))</f>
        <v>114290.39175651137</v>
      </c>
      <c r="Y17" s="311">
        <f>IF('Market Penetration'!C17=0,0,1000*C17*'Market Data'!$E$51/('Market Penetration'!C17*'Market Data'!$C$51))</f>
        <v>0</v>
      </c>
      <c r="Z17" s="311">
        <f>IF('Market Penetration'!D17=0,0,1000*D17*'Market Data'!$E$51/('Market Penetration'!D17*'Market Data'!$C$51))</f>
        <v>0</v>
      </c>
      <c r="AA17" s="543">
        <f>IF('Market Penetration'!E17=0,0,1000*E17*'Market Data'!$E$51/('Market Penetration'!E17*'Market Data'!$C$51))</f>
        <v>0</v>
      </c>
      <c r="AB17" s="311">
        <f>IF('Market Penetration'!F17=0,0,1000*F17*'Market Data'!$E$51/('Market Penetration'!F17*'Market Data'!$C$51))</f>
        <v>0</v>
      </c>
      <c r="AC17" s="538">
        <f>IF('Market Penetration'!G17=0,0,1000*G17*'Market Data'!$E$51/('Market Penetration'!G17*'Market Data'!$C$51))</f>
        <v>0</v>
      </c>
      <c r="AD17" s="310">
        <f>IF('Market Penetration'!H17=0,0,1000*H17*'Market Data'!$O$51/('Market Penetration'!H17*'Market Data'!$M$51))</f>
        <v>76984.800905352895</v>
      </c>
      <c r="AE17" s="311">
        <f>IF('Market Penetration'!I17=0,0,1000*I17*'Market Data'!$O$51/('Market Penetration'!I17*'Market Data'!$M$51))</f>
        <v>0</v>
      </c>
      <c r="AF17" s="311">
        <f>IF('Market Penetration'!J17=0,0,1000*J17*'Market Data'!$O$51/('Market Penetration'!J17*'Market Data'!$M$51))</f>
        <v>0</v>
      </c>
      <c r="AG17" s="311">
        <f>IF('Market Penetration'!K17=0,0,1000*K17*'Market Data'!$O$51/('Market Penetration'!K17*'Market Data'!$M$51))</f>
        <v>0</v>
      </c>
      <c r="AH17" s="311">
        <f>IF('Market Penetration'!L17=0,0,1000*L17*'Market Data'!$O$51/('Market Penetration'!L17*'Market Data'!$M$51))</f>
        <v>0</v>
      </c>
      <c r="AI17" s="312">
        <f>IF('Market Penetration'!M17=0,0,1000*M17*'Market Data'!$O$51/('Market Penetration'!M17*'Market Data'!$M$51))</f>
        <v>0</v>
      </c>
      <c r="AJ17" s="310">
        <f>IF('Market Penetration'!N17=0,0,1000*N17*'Market Data'!$Y$51/('Market Penetration'!N17*'Market Data'!$W$51))</f>
        <v>27261.021505205488</v>
      </c>
      <c r="AK17" s="311">
        <f>IF('Market Penetration'!O17=0,0,1000*O17*'Market Data'!$Y$51/('Market Penetration'!O17*'Market Data'!$W$51))</f>
        <v>0</v>
      </c>
      <c r="AL17" s="311">
        <f>IF('Market Penetration'!P17=0,0,1000*P17*'Market Data'!$Y$51/('Market Penetration'!P17*'Market Data'!$W$51))</f>
        <v>0</v>
      </c>
      <c r="AM17" s="543">
        <f>IF('Market Penetration'!Q17=0,0,1000*Q17*'Market Data'!$Y$51/('Market Penetration'!Q17*'Market Data'!$W$51))</f>
        <v>0</v>
      </c>
      <c r="AN17" s="311">
        <f>IF('Market Penetration'!R17=0,0,1000*R17*'Market Data'!$Y$51/('Market Penetration'!R17*'Market Data'!$W$51))</f>
        <v>0</v>
      </c>
      <c r="AO17" s="538">
        <f>IF('Market Penetration'!S17=0,0,1000*S17*'Market Data'!$Y$51/('Market Penetration'!S17*'Market Data'!$W$51))</f>
        <v>0</v>
      </c>
      <c r="AP17" s="310">
        <f>IF('Market Penetration'!T17=0,0,1000*T17*('Market Data'!$E$51+'Market Data'!$O$51+'Market Data'!$Y$51)/('Market Penetration'!T17*('Market Data'!$C$51+'Market Data'!$M$51+'Market Data'!$W$51)))</f>
        <v>81431.79238084791</v>
      </c>
      <c r="AQ17" s="312">
        <f>IF('Market Penetration'!U17=0,0,1000*U17*('Market Data'!$E$51+'Market Data'!$O$51+'Market Data'!$Y$51)/('Market Penetration'!U17*('Market Data'!$C$51+'Market Data'!$M$51+'Market Data'!$W$51)))</f>
        <v>0</v>
      </c>
    </row>
    <row r="18" spans="1:43" ht="15" x14ac:dyDescent="0.25">
      <c r="A18" s="294">
        <v>2016</v>
      </c>
      <c r="B18" s="295">
        <f t="shared" si="12"/>
        <v>1</v>
      </c>
      <c r="C18" s="296">
        <f>'7&amp;8 Sleep'!$M85+'7&amp;8 Sleep'!$Z85</f>
        <v>0</v>
      </c>
      <c r="D18" s="296">
        <f>'7&amp;8 Sleep'!$M137+'7&amp;8 Sleep'!$Z137</f>
        <v>0</v>
      </c>
      <c r="E18" s="549">
        <f>'7&amp;8 Sleep'!$M189+'7&amp;8 Sleep'!$Z189</f>
        <v>0</v>
      </c>
      <c r="F18" s="296">
        <f>'7&amp;8 Sleep'!$M242+'7&amp;8 Sleep'!$Z242</f>
        <v>0</v>
      </c>
      <c r="G18" s="507">
        <f>'7&amp;8 Sleep'!$M295+'7&amp;8 Sleep'!$Z295</f>
        <v>0</v>
      </c>
      <c r="H18" s="702">
        <f t="shared" si="13"/>
        <v>1</v>
      </c>
      <c r="I18" s="507">
        <f>'7&amp;8 Day'!$M85+'7&amp;8 Day'!$Z85</f>
        <v>0</v>
      </c>
      <c r="J18" s="507">
        <f>'7&amp;8 Day'!$M137+'7&amp;8 Day'!$Z137</f>
        <v>0</v>
      </c>
      <c r="K18" s="507">
        <f>'7&amp;8 Day'!$M189+'7&amp;8 Day'!$Z189</f>
        <v>0</v>
      </c>
      <c r="L18" s="507">
        <f>'7&amp;8 Day'!$M242+'7&amp;8 Day'!$Z242</f>
        <v>0</v>
      </c>
      <c r="M18" s="554">
        <f>'7&amp;8 Day'!$M295+'7&amp;8 Day'!$Z295</f>
        <v>0</v>
      </c>
      <c r="N18" s="295">
        <f t="shared" si="14"/>
        <v>1</v>
      </c>
      <c r="O18" s="296">
        <f>'7&amp;8 SU'!$M85+'7&amp;8 SU'!$Z85</f>
        <v>0</v>
      </c>
      <c r="P18" s="296">
        <f>'7&amp;8 SU'!$M137+'7&amp;8 SU'!$Z137</f>
        <v>0</v>
      </c>
      <c r="Q18" s="549">
        <f>'7&amp;8 SU'!$M189+'7&amp;8 SU'!$Z189</f>
        <v>0</v>
      </c>
      <c r="R18" s="296">
        <f>'7&amp;8 SU'!$M242+'7&amp;8 SU'!$Z242</f>
        <v>0</v>
      </c>
      <c r="S18" s="507">
        <f>'7&amp;8 SU'!$M295+'7&amp;8 SU'!$Z295</f>
        <v>0</v>
      </c>
      <c r="T18" s="298">
        <f>B18*'Market Data'!$E$52+H18*'Market Data'!$O$52+N18*+N18*'Market Data'!$Y$52</f>
        <v>1</v>
      </c>
      <c r="U18" s="299">
        <f>SUM(C18:G18)*'Market Data'!$E$52+SUM(I18:M18)*'Market Data'!$O$52+SUM(O18:S18)*+N18*'Market Data'!$Y$52</f>
        <v>0</v>
      </c>
      <c r="W18" s="294">
        <v>2016</v>
      </c>
      <c r="X18" s="313">
        <f>IF('Market Penetration'!B18=0,0,1000*B18*'Market Data'!$E$51/('Market Penetration'!B18*'Market Data'!$C$51))</f>
        <v>114290.39175651137</v>
      </c>
      <c r="Y18" s="314">
        <f>IF('Market Penetration'!C18=0,0,1000*C18*'Market Data'!$E$51/('Market Penetration'!C18*'Market Data'!$C$51))</f>
        <v>0</v>
      </c>
      <c r="Z18" s="314">
        <f>IF('Market Penetration'!D18=0,0,1000*D18*'Market Data'!$E$51/('Market Penetration'!D18*'Market Data'!$C$51))</f>
        <v>0</v>
      </c>
      <c r="AA18" s="544">
        <f>IF('Market Penetration'!E18=0,0,1000*E18*'Market Data'!$E$51/('Market Penetration'!E18*'Market Data'!$C$51))</f>
        <v>0</v>
      </c>
      <c r="AB18" s="314">
        <f>IF('Market Penetration'!F18=0,0,1000*F18*'Market Data'!$E$51/('Market Penetration'!F18*'Market Data'!$C$51))</f>
        <v>0</v>
      </c>
      <c r="AC18" s="539">
        <f>IF('Market Penetration'!G18=0,0,1000*G18*'Market Data'!$E$51/('Market Penetration'!G18*'Market Data'!$C$51))</f>
        <v>0</v>
      </c>
      <c r="AD18" s="313">
        <f>IF('Market Penetration'!H18=0,0,1000*H18*'Market Data'!$O$51/('Market Penetration'!H18*'Market Data'!$M$51))</f>
        <v>76984.800905352895</v>
      </c>
      <c r="AE18" s="314">
        <f>IF('Market Penetration'!I18=0,0,1000*I18*'Market Data'!$O$51/('Market Penetration'!I18*'Market Data'!$M$51))</f>
        <v>0</v>
      </c>
      <c r="AF18" s="314">
        <f>IF('Market Penetration'!J18=0,0,1000*J18*'Market Data'!$O$51/('Market Penetration'!J18*'Market Data'!$M$51))</f>
        <v>0</v>
      </c>
      <c r="AG18" s="314">
        <f>IF('Market Penetration'!K18=0,0,1000*K18*'Market Data'!$O$51/('Market Penetration'!K18*'Market Data'!$M$51))</f>
        <v>0</v>
      </c>
      <c r="AH18" s="314">
        <f>IF('Market Penetration'!L18=0,0,1000*L18*'Market Data'!$O$51/('Market Penetration'!L18*'Market Data'!$M$51))</f>
        <v>0</v>
      </c>
      <c r="AI18" s="707">
        <f>IF('Market Penetration'!M18=0,0,1000*M18*'Market Data'!$O$51/('Market Penetration'!M18*'Market Data'!$M$51))</f>
        <v>0</v>
      </c>
      <c r="AJ18" s="313">
        <f>IF('Market Penetration'!N18=0,0,1000*N18*'Market Data'!$Y$51/('Market Penetration'!N18*'Market Data'!$W$51))</f>
        <v>27261.021505205488</v>
      </c>
      <c r="AK18" s="314">
        <f>IF('Market Penetration'!O18=0,0,1000*O18*'Market Data'!$Y$51/('Market Penetration'!O18*'Market Data'!$W$51))</f>
        <v>0</v>
      </c>
      <c r="AL18" s="314">
        <f>IF('Market Penetration'!P18=0,0,1000*P18*'Market Data'!$Y$51/('Market Penetration'!P18*'Market Data'!$W$51))</f>
        <v>0</v>
      </c>
      <c r="AM18" s="544">
        <f>IF('Market Penetration'!Q18=0,0,1000*Q18*'Market Data'!$Y$51/('Market Penetration'!Q18*'Market Data'!$W$51))</f>
        <v>0</v>
      </c>
      <c r="AN18" s="314">
        <f>IF('Market Penetration'!R18=0,0,1000*R18*'Market Data'!$Y$51/('Market Penetration'!R18*'Market Data'!$W$51))</f>
        <v>0</v>
      </c>
      <c r="AO18" s="539">
        <f>IF('Market Penetration'!S18=0,0,1000*S18*'Market Data'!$Y$51/('Market Penetration'!S18*'Market Data'!$W$51))</f>
        <v>0</v>
      </c>
      <c r="AP18" s="315">
        <f>IF('Market Penetration'!T18=0,0,1000*T18*('Market Data'!$E$51+'Market Data'!$O$51+'Market Data'!$Y$51)/('Market Penetration'!T18*('Market Data'!$C$51+'Market Data'!$M$51+'Market Data'!$W$51)))</f>
        <v>81431.79238084791</v>
      </c>
      <c r="AQ18" s="316">
        <f>IF('Market Penetration'!U18=0,0,1000*U18*('Market Data'!$E$51+'Market Data'!$O$51+'Market Data'!$Y$51)/('Market Penetration'!U18*('Market Data'!$C$51+'Market Data'!$M$51+'Market Data'!$W$51)))</f>
        <v>0</v>
      </c>
    </row>
    <row r="19" spans="1:43" ht="15" x14ac:dyDescent="0.25">
      <c r="A19" s="275">
        <v>2017</v>
      </c>
      <c r="B19" s="288">
        <f t="shared" si="12"/>
        <v>1</v>
      </c>
      <c r="C19" s="289">
        <f>'7&amp;8 Sleep'!$M86+'7&amp;8 Sleep'!$Z86</f>
        <v>0</v>
      </c>
      <c r="D19" s="289">
        <f>'7&amp;8 Sleep'!$M138+'7&amp;8 Sleep'!$Z138</f>
        <v>0</v>
      </c>
      <c r="E19" s="547">
        <f>'7&amp;8 Sleep'!$M190+'7&amp;8 Sleep'!$Z190</f>
        <v>0</v>
      </c>
      <c r="F19" s="289">
        <f>'7&amp;8 Sleep'!$M243+'7&amp;8 Sleep'!$Z243</f>
        <v>0</v>
      </c>
      <c r="G19" s="505">
        <f>'7&amp;8 Sleep'!$M296+'7&amp;8 Sleep'!$Z296</f>
        <v>0</v>
      </c>
      <c r="H19" s="700">
        <f t="shared" si="13"/>
        <v>1</v>
      </c>
      <c r="I19" s="505">
        <f>'7&amp;8 Day'!$M86+'7&amp;8 Day'!$Z86</f>
        <v>0</v>
      </c>
      <c r="J19" s="505">
        <f>'7&amp;8 Day'!$M138+'7&amp;8 Day'!$Z138</f>
        <v>0</v>
      </c>
      <c r="K19" s="505">
        <f>'7&amp;8 Day'!$M190+'7&amp;8 Day'!$Z190</f>
        <v>0</v>
      </c>
      <c r="L19" s="505">
        <f>'7&amp;8 Day'!$M243+'7&amp;8 Day'!$Z243</f>
        <v>0</v>
      </c>
      <c r="M19" s="552">
        <f>'7&amp;8 Day'!$M296+'7&amp;8 Day'!$Z296</f>
        <v>0</v>
      </c>
      <c r="N19" s="288">
        <f t="shared" si="14"/>
        <v>1</v>
      </c>
      <c r="O19" s="289">
        <f>'7&amp;8 SU'!$M86+'7&amp;8 SU'!$Z86</f>
        <v>0</v>
      </c>
      <c r="P19" s="289">
        <f>'7&amp;8 SU'!$M138+'7&amp;8 SU'!$Z138</f>
        <v>0</v>
      </c>
      <c r="Q19" s="547">
        <f>'7&amp;8 SU'!$M190+'7&amp;8 SU'!$Z190</f>
        <v>0</v>
      </c>
      <c r="R19" s="289">
        <f>'7&amp;8 SU'!$M243+'7&amp;8 SU'!$Z243</f>
        <v>0</v>
      </c>
      <c r="S19" s="505">
        <f>'7&amp;8 SU'!$M296+'7&amp;8 SU'!$Z296</f>
        <v>0</v>
      </c>
      <c r="T19" s="288">
        <f>B19*'Market Data'!$E$52+H19*'Market Data'!$O$52+N19*+N19*'Market Data'!$Y$52</f>
        <v>1</v>
      </c>
      <c r="U19" s="290">
        <f>SUM(C19:G19)*'Market Data'!$E$52+SUM(I19:M19)*'Market Data'!$O$52+SUM(O19:S19)*+N19*'Market Data'!$Y$52</f>
        <v>0</v>
      </c>
      <c r="W19" s="275">
        <v>2017</v>
      </c>
      <c r="X19" s="307">
        <f>IF('Market Penetration'!B19=0,0,1000*B19*'Market Data'!$E$51/('Market Penetration'!B19*'Market Data'!$C$51))</f>
        <v>114290.39175651137</v>
      </c>
      <c r="Y19" s="308">
        <f>IF('Market Penetration'!C19=0,0,1000*C19*'Market Data'!$E$51/('Market Penetration'!C19*'Market Data'!$C$51))</f>
        <v>0</v>
      </c>
      <c r="Z19" s="308">
        <f>IF('Market Penetration'!D19=0,0,1000*D19*'Market Data'!$E$51/('Market Penetration'!D19*'Market Data'!$C$51))</f>
        <v>0</v>
      </c>
      <c r="AA19" s="542">
        <f>IF('Market Penetration'!E19=0,0,1000*E19*'Market Data'!$E$51/('Market Penetration'!E19*'Market Data'!$C$51))</f>
        <v>0</v>
      </c>
      <c r="AB19" s="308">
        <f>IF('Market Penetration'!F19=0,0,1000*F19*'Market Data'!$E$51/('Market Penetration'!F19*'Market Data'!$C$51))</f>
        <v>0</v>
      </c>
      <c r="AC19" s="537">
        <f>IF('Market Penetration'!G19=0,0,1000*G19*'Market Data'!$E$51/('Market Penetration'!G19*'Market Data'!$C$51))</f>
        <v>0</v>
      </c>
      <c r="AD19" s="307">
        <f>IF('Market Penetration'!H19=0,0,1000*H19*'Market Data'!$O$51/('Market Penetration'!H19*'Market Data'!$M$51))</f>
        <v>76984.800905352895</v>
      </c>
      <c r="AE19" s="308">
        <f>IF('Market Penetration'!I19=0,0,1000*I19*'Market Data'!$O$51/('Market Penetration'!I19*'Market Data'!$M$51))</f>
        <v>0</v>
      </c>
      <c r="AF19" s="308">
        <f>IF('Market Penetration'!J19=0,0,1000*J19*'Market Data'!$O$51/('Market Penetration'!J19*'Market Data'!$M$51))</f>
        <v>0</v>
      </c>
      <c r="AG19" s="308">
        <f>IF('Market Penetration'!K19=0,0,1000*K19*'Market Data'!$O$51/('Market Penetration'!K19*'Market Data'!$M$51))</f>
        <v>0</v>
      </c>
      <c r="AH19" s="308">
        <f>IF('Market Penetration'!L19=0,0,1000*L19*'Market Data'!$O$51/('Market Penetration'!L19*'Market Data'!$M$51))</f>
        <v>0</v>
      </c>
      <c r="AI19" s="309">
        <f>IF('Market Penetration'!M19=0,0,1000*M19*'Market Data'!$O$51/('Market Penetration'!M19*'Market Data'!$M$51))</f>
        <v>0</v>
      </c>
      <c r="AJ19" s="307">
        <f>IF('Market Penetration'!N19=0,0,1000*N19*'Market Data'!$Y$51/('Market Penetration'!N19*'Market Data'!$W$51))</f>
        <v>27261.021505205488</v>
      </c>
      <c r="AK19" s="308">
        <f>IF('Market Penetration'!O19=0,0,1000*O19*'Market Data'!$Y$51/('Market Penetration'!O19*'Market Data'!$W$51))</f>
        <v>0</v>
      </c>
      <c r="AL19" s="308">
        <f>IF('Market Penetration'!P19=0,0,1000*P19*'Market Data'!$Y$51/('Market Penetration'!P19*'Market Data'!$W$51))</f>
        <v>0</v>
      </c>
      <c r="AM19" s="542">
        <f>IF('Market Penetration'!Q19=0,0,1000*Q19*'Market Data'!$Y$51/('Market Penetration'!Q19*'Market Data'!$W$51))</f>
        <v>0</v>
      </c>
      <c r="AN19" s="308">
        <f>IF('Market Penetration'!R19=0,0,1000*R19*'Market Data'!$Y$51/('Market Penetration'!R19*'Market Data'!$W$51))</f>
        <v>0</v>
      </c>
      <c r="AO19" s="537">
        <f>IF('Market Penetration'!S19=0,0,1000*S19*'Market Data'!$Y$51/('Market Penetration'!S19*'Market Data'!$W$51))</f>
        <v>0</v>
      </c>
      <c r="AP19" s="307">
        <f>IF('Market Penetration'!T19=0,0,1000*T19*('Market Data'!$E$51+'Market Data'!$O$51+'Market Data'!$Y$51)/('Market Penetration'!T19*('Market Data'!$C$51+'Market Data'!$M$51+'Market Data'!$W$51)))</f>
        <v>81431.79238084791</v>
      </c>
      <c r="AQ19" s="309">
        <f>IF('Market Penetration'!U19=0,0,1000*U19*('Market Data'!$E$51+'Market Data'!$O$51+'Market Data'!$Y$51)/('Market Penetration'!U19*('Market Data'!$C$51+'Market Data'!$M$51+'Market Data'!$W$51)))</f>
        <v>0</v>
      </c>
    </row>
    <row r="20" spans="1:43" ht="15" x14ac:dyDescent="0.25">
      <c r="A20" s="275">
        <v>2018</v>
      </c>
      <c r="B20" s="288">
        <f t="shared" si="12"/>
        <v>1</v>
      </c>
      <c r="C20" s="289">
        <f>'7&amp;8 Sleep'!$M87+'7&amp;8 Sleep'!$Z87</f>
        <v>0</v>
      </c>
      <c r="D20" s="289">
        <f>'7&amp;8 Sleep'!$M139+'7&amp;8 Sleep'!$Z139</f>
        <v>0</v>
      </c>
      <c r="E20" s="547">
        <f>'7&amp;8 Sleep'!$M191+'7&amp;8 Sleep'!$Z191</f>
        <v>0</v>
      </c>
      <c r="F20" s="289">
        <f>'7&amp;8 Sleep'!$M244+'7&amp;8 Sleep'!$Z244</f>
        <v>0</v>
      </c>
      <c r="G20" s="505">
        <f>'7&amp;8 Sleep'!$M297+'7&amp;8 Sleep'!$Z297</f>
        <v>0</v>
      </c>
      <c r="H20" s="700">
        <f t="shared" si="13"/>
        <v>1</v>
      </c>
      <c r="I20" s="505">
        <f>'7&amp;8 Day'!$M87+'7&amp;8 Day'!$Z87</f>
        <v>0</v>
      </c>
      <c r="J20" s="505">
        <f>'7&amp;8 Day'!$M139+'7&amp;8 Day'!$Z139</f>
        <v>0</v>
      </c>
      <c r="K20" s="505">
        <f>'7&amp;8 Day'!$M191+'7&amp;8 Day'!$Z191</f>
        <v>0</v>
      </c>
      <c r="L20" s="505">
        <f>'7&amp;8 Day'!$M244+'7&amp;8 Day'!$Z244</f>
        <v>0</v>
      </c>
      <c r="M20" s="552">
        <f>'7&amp;8 Day'!$M297+'7&amp;8 Day'!$Z297</f>
        <v>0</v>
      </c>
      <c r="N20" s="288">
        <f t="shared" si="14"/>
        <v>1</v>
      </c>
      <c r="O20" s="289">
        <f>'7&amp;8 SU'!$M87+'7&amp;8 SU'!$Z87</f>
        <v>0</v>
      </c>
      <c r="P20" s="289">
        <f>'7&amp;8 SU'!$M139+'7&amp;8 SU'!$Z139</f>
        <v>0</v>
      </c>
      <c r="Q20" s="547">
        <f>'7&amp;8 SU'!$M191+'7&amp;8 SU'!$Z191</f>
        <v>0</v>
      </c>
      <c r="R20" s="289">
        <f>'7&amp;8 SU'!$M244+'7&amp;8 SU'!$Z244</f>
        <v>0</v>
      </c>
      <c r="S20" s="505">
        <f>'7&amp;8 SU'!$M297+'7&amp;8 SU'!$Z297</f>
        <v>0</v>
      </c>
      <c r="T20" s="288">
        <f>B20*'Market Data'!$E$52+H20*'Market Data'!$O$52+N20*+N20*'Market Data'!$Y$52</f>
        <v>1</v>
      </c>
      <c r="U20" s="290">
        <f>SUM(C20:G20)*'Market Data'!$E$52+SUM(I20:M20)*'Market Data'!$O$52+SUM(O20:S20)*+N20*'Market Data'!$Y$52</f>
        <v>0</v>
      </c>
      <c r="W20" s="275">
        <v>2018</v>
      </c>
      <c r="X20" s="307">
        <f>IF('Market Penetration'!B20=0,0,1000*B20*'Market Data'!$E$51/('Market Penetration'!B20*'Market Data'!$C$51))</f>
        <v>114290.39175651137</v>
      </c>
      <c r="Y20" s="308">
        <f>IF('Market Penetration'!C20=0,0,1000*C20*'Market Data'!$E$51/('Market Penetration'!C20*'Market Data'!$C$51))</f>
        <v>0</v>
      </c>
      <c r="Z20" s="308">
        <f>IF('Market Penetration'!D20=0,0,1000*D20*'Market Data'!$E$51/('Market Penetration'!D20*'Market Data'!$C$51))</f>
        <v>0</v>
      </c>
      <c r="AA20" s="542">
        <f>IF('Market Penetration'!E20=0,0,1000*E20*'Market Data'!$E$51/('Market Penetration'!E20*'Market Data'!$C$51))</f>
        <v>0</v>
      </c>
      <c r="AB20" s="308">
        <f>IF('Market Penetration'!F20=0,0,1000*F20*'Market Data'!$E$51/('Market Penetration'!F20*'Market Data'!$C$51))</f>
        <v>0</v>
      </c>
      <c r="AC20" s="537">
        <f>IF('Market Penetration'!G20=0,0,1000*G20*'Market Data'!$E$51/('Market Penetration'!G20*'Market Data'!$C$51))</f>
        <v>0</v>
      </c>
      <c r="AD20" s="307">
        <f>IF('Market Penetration'!H20=0,0,1000*H20*'Market Data'!$O$51/('Market Penetration'!H20*'Market Data'!$M$51))</f>
        <v>76984.800905352895</v>
      </c>
      <c r="AE20" s="308">
        <f>IF('Market Penetration'!I20=0,0,1000*I20*'Market Data'!$O$51/('Market Penetration'!I20*'Market Data'!$M$51))</f>
        <v>0</v>
      </c>
      <c r="AF20" s="308">
        <f>IF('Market Penetration'!J20=0,0,1000*J20*'Market Data'!$O$51/('Market Penetration'!J20*'Market Data'!$M$51))</f>
        <v>0</v>
      </c>
      <c r="AG20" s="308">
        <f>IF('Market Penetration'!K20=0,0,1000*K20*'Market Data'!$O$51/('Market Penetration'!K20*'Market Data'!$M$51))</f>
        <v>0</v>
      </c>
      <c r="AH20" s="308">
        <f>IF('Market Penetration'!L20=0,0,1000*L20*'Market Data'!$O$51/('Market Penetration'!L20*'Market Data'!$M$51))</f>
        <v>0</v>
      </c>
      <c r="AI20" s="309">
        <f>IF('Market Penetration'!M20=0,0,1000*M20*'Market Data'!$O$51/('Market Penetration'!M20*'Market Data'!$M$51))</f>
        <v>0</v>
      </c>
      <c r="AJ20" s="307">
        <f>IF('Market Penetration'!N20=0,0,1000*N20*'Market Data'!$Y$51/('Market Penetration'!N20*'Market Data'!$W$51))</f>
        <v>27261.021505205488</v>
      </c>
      <c r="AK20" s="308">
        <f>IF('Market Penetration'!O20=0,0,1000*O20*'Market Data'!$Y$51/('Market Penetration'!O20*'Market Data'!$W$51))</f>
        <v>0</v>
      </c>
      <c r="AL20" s="308">
        <f>IF('Market Penetration'!P20=0,0,1000*P20*'Market Data'!$Y$51/('Market Penetration'!P20*'Market Data'!$W$51))</f>
        <v>0</v>
      </c>
      <c r="AM20" s="542">
        <f>IF('Market Penetration'!Q20=0,0,1000*Q20*'Market Data'!$Y$51/('Market Penetration'!Q20*'Market Data'!$W$51))</f>
        <v>0</v>
      </c>
      <c r="AN20" s="308">
        <f>IF('Market Penetration'!R20=0,0,1000*R20*'Market Data'!$Y$51/('Market Penetration'!R20*'Market Data'!$W$51))</f>
        <v>0</v>
      </c>
      <c r="AO20" s="537">
        <f>IF('Market Penetration'!S20=0,0,1000*S20*'Market Data'!$Y$51/('Market Penetration'!S20*'Market Data'!$W$51))</f>
        <v>0</v>
      </c>
      <c r="AP20" s="307">
        <f>IF('Market Penetration'!T20=0,0,1000*T20*('Market Data'!$E$51+'Market Data'!$O$51+'Market Data'!$Y$51)/('Market Penetration'!T20*('Market Data'!$C$51+'Market Data'!$M$51+'Market Data'!$W$51)))</f>
        <v>81431.79238084791</v>
      </c>
      <c r="AQ20" s="309">
        <f>IF('Market Penetration'!U20=0,0,1000*U20*('Market Data'!$E$51+'Market Data'!$O$51+'Market Data'!$Y$51)/('Market Penetration'!U20*('Market Data'!$C$51+'Market Data'!$M$51+'Market Data'!$W$51)))</f>
        <v>0</v>
      </c>
    </row>
    <row r="21" spans="1:43" ht="15" x14ac:dyDescent="0.25">
      <c r="A21" s="275">
        <v>2019</v>
      </c>
      <c r="B21" s="288">
        <f t="shared" si="12"/>
        <v>1</v>
      </c>
      <c r="C21" s="289">
        <f>'7&amp;8 Sleep'!$M88+'7&amp;8 Sleep'!$Z88</f>
        <v>0</v>
      </c>
      <c r="D21" s="289">
        <f>'7&amp;8 Sleep'!$M140+'7&amp;8 Sleep'!$Z140</f>
        <v>0</v>
      </c>
      <c r="E21" s="547">
        <f>'7&amp;8 Sleep'!$M192+'7&amp;8 Sleep'!$Z192</f>
        <v>0</v>
      </c>
      <c r="F21" s="289">
        <f>'7&amp;8 Sleep'!$M245+'7&amp;8 Sleep'!$Z245</f>
        <v>0</v>
      </c>
      <c r="G21" s="505">
        <f>'7&amp;8 Sleep'!$M298+'7&amp;8 Sleep'!$Z298</f>
        <v>0</v>
      </c>
      <c r="H21" s="700">
        <f t="shared" si="13"/>
        <v>1</v>
      </c>
      <c r="I21" s="505">
        <f>'7&amp;8 Day'!$M88+'7&amp;8 Day'!$Z88</f>
        <v>0</v>
      </c>
      <c r="J21" s="505">
        <f>'7&amp;8 Day'!$M140+'7&amp;8 Day'!$Z140</f>
        <v>0</v>
      </c>
      <c r="K21" s="505">
        <f>'7&amp;8 Day'!$M192+'7&amp;8 Day'!$Z192</f>
        <v>0</v>
      </c>
      <c r="L21" s="505">
        <f>'7&amp;8 Day'!$M245+'7&amp;8 Day'!$Z245</f>
        <v>0</v>
      </c>
      <c r="M21" s="552">
        <f>'7&amp;8 Day'!$M298+'7&amp;8 Day'!$Z298</f>
        <v>0</v>
      </c>
      <c r="N21" s="288">
        <f t="shared" si="14"/>
        <v>1</v>
      </c>
      <c r="O21" s="289">
        <f>'7&amp;8 SU'!$M88+'7&amp;8 SU'!$Z88</f>
        <v>0</v>
      </c>
      <c r="P21" s="289">
        <f>'7&amp;8 SU'!$M140+'7&amp;8 SU'!$Z140</f>
        <v>0</v>
      </c>
      <c r="Q21" s="547">
        <f>'7&amp;8 SU'!$M192+'7&amp;8 SU'!$Z192</f>
        <v>0</v>
      </c>
      <c r="R21" s="289">
        <f>'7&amp;8 SU'!$M245+'7&amp;8 SU'!$Z245</f>
        <v>0</v>
      </c>
      <c r="S21" s="505">
        <f>'7&amp;8 SU'!$M298+'7&amp;8 SU'!$Z298</f>
        <v>0</v>
      </c>
      <c r="T21" s="288">
        <f>B21*'Market Data'!$E$52+H21*'Market Data'!$O$52+N21*+N21*'Market Data'!$Y$52</f>
        <v>1</v>
      </c>
      <c r="U21" s="290">
        <f>SUM(C21:G21)*'Market Data'!$E$52+SUM(I21:M21)*'Market Data'!$O$52+SUM(O21:S21)*+N21*'Market Data'!$Y$52</f>
        <v>0</v>
      </c>
      <c r="W21" s="275">
        <v>2019</v>
      </c>
      <c r="X21" s="307">
        <f>IF('Market Penetration'!B21=0,0,1000*B21*'Market Data'!$E$51/('Market Penetration'!B21*'Market Data'!$C$51))</f>
        <v>114290.39175651137</v>
      </c>
      <c r="Y21" s="308">
        <f>IF('Market Penetration'!C21=0,0,1000*C21*'Market Data'!$E$51/('Market Penetration'!C21*'Market Data'!$C$51))</f>
        <v>0</v>
      </c>
      <c r="Z21" s="308">
        <f>IF('Market Penetration'!D21=0,0,1000*D21*'Market Data'!$E$51/('Market Penetration'!D21*'Market Data'!$C$51))</f>
        <v>0</v>
      </c>
      <c r="AA21" s="542">
        <f>IF('Market Penetration'!E21=0,0,1000*E21*'Market Data'!$E$51/('Market Penetration'!E21*'Market Data'!$C$51))</f>
        <v>0</v>
      </c>
      <c r="AB21" s="308">
        <f>IF('Market Penetration'!F21=0,0,1000*F21*'Market Data'!$E$51/('Market Penetration'!F21*'Market Data'!$C$51))</f>
        <v>0</v>
      </c>
      <c r="AC21" s="537">
        <f>IF('Market Penetration'!G21=0,0,1000*G21*'Market Data'!$E$51/('Market Penetration'!G21*'Market Data'!$C$51))</f>
        <v>0</v>
      </c>
      <c r="AD21" s="307">
        <f>IF('Market Penetration'!H21=0,0,1000*H21*'Market Data'!$O$51/('Market Penetration'!H21*'Market Data'!$M$51))</f>
        <v>76984.800905352895</v>
      </c>
      <c r="AE21" s="308">
        <f>IF('Market Penetration'!I21=0,0,1000*I21*'Market Data'!$O$51/('Market Penetration'!I21*'Market Data'!$M$51))</f>
        <v>0</v>
      </c>
      <c r="AF21" s="308">
        <f>IF('Market Penetration'!J21=0,0,1000*J21*'Market Data'!$O$51/('Market Penetration'!J21*'Market Data'!$M$51))</f>
        <v>0</v>
      </c>
      <c r="AG21" s="308">
        <f>IF('Market Penetration'!K21=0,0,1000*K21*'Market Data'!$O$51/('Market Penetration'!K21*'Market Data'!$M$51))</f>
        <v>0</v>
      </c>
      <c r="AH21" s="308">
        <f>IF('Market Penetration'!L21=0,0,1000*L21*'Market Data'!$O$51/('Market Penetration'!L21*'Market Data'!$M$51))</f>
        <v>0</v>
      </c>
      <c r="AI21" s="309">
        <f>IF('Market Penetration'!M21=0,0,1000*M21*'Market Data'!$O$51/('Market Penetration'!M21*'Market Data'!$M$51))</f>
        <v>0</v>
      </c>
      <c r="AJ21" s="307">
        <f>IF('Market Penetration'!N21=0,0,1000*N21*'Market Data'!$Y$51/('Market Penetration'!N21*'Market Data'!$W$51))</f>
        <v>27261.021505205488</v>
      </c>
      <c r="AK21" s="308">
        <f>IF('Market Penetration'!O21=0,0,1000*O21*'Market Data'!$Y$51/('Market Penetration'!O21*'Market Data'!$W$51))</f>
        <v>0</v>
      </c>
      <c r="AL21" s="308">
        <f>IF('Market Penetration'!P21=0,0,1000*P21*'Market Data'!$Y$51/('Market Penetration'!P21*'Market Data'!$W$51))</f>
        <v>0</v>
      </c>
      <c r="AM21" s="542">
        <f>IF('Market Penetration'!Q21=0,0,1000*Q21*'Market Data'!$Y$51/('Market Penetration'!Q21*'Market Data'!$W$51))</f>
        <v>0</v>
      </c>
      <c r="AN21" s="308">
        <f>IF('Market Penetration'!R21=0,0,1000*R21*'Market Data'!$Y$51/('Market Penetration'!R21*'Market Data'!$W$51))</f>
        <v>0</v>
      </c>
      <c r="AO21" s="537">
        <f>IF('Market Penetration'!S21=0,0,1000*S21*'Market Data'!$Y$51/('Market Penetration'!S21*'Market Data'!$W$51))</f>
        <v>0</v>
      </c>
      <c r="AP21" s="307">
        <f>IF('Market Penetration'!T21=0,0,1000*T21*('Market Data'!$E$51+'Market Data'!$O$51+'Market Data'!$Y$51)/('Market Penetration'!T21*('Market Data'!$C$51+'Market Data'!$M$51+'Market Data'!$W$51)))</f>
        <v>81431.79238084791</v>
      </c>
      <c r="AQ21" s="309">
        <f>IF('Market Penetration'!U21=0,0,1000*U21*('Market Data'!$E$51+'Market Data'!$O$51+'Market Data'!$Y$51)/('Market Penetration'!U21*('Market Data'!$C$51+'Market Data'!$M$51+'Market Data'!$W$51)))</f>
        <v>0</v>
      </c>
    </row>
    <row r="22" spans="1:43" ht="15" x14ac:dyDescent="0.25">
      <c r="A22" s="274">
        <v>2020</v>
      </c>
      <c r="B22" s="291">
        <f t="shared" si="12"/>
        <v>1</v>
      </c>
      <c r="C22" s="292">
        <f>'7&amp;8 Sleep'!$M89+'7&amp;8 Sleep'!$Z89</f>
        <v>0</v>
      </c>
      <c r="D22" s="292">
        <f>'7&amp;8 Sleep'!$M141+'7&amp;8 Sleep'!$Z141</f>
        <v>0</v>
      </c>
      <c r="E22" s="548">
        <f>'7&amp;8 Sleep'!$M193+'7&amp;8 Sleep'!$Z193</f>
        <v>0</v>
      </c>
      <c r="F22" s="292">
        <f>'7&amp;8 Sleep'!$M246+'7&amp;8 Sleep'!$Z246</f>
        <v>0</v>
      </c>
      <c r="G22" s="506">
        <f>'7&amp;8 Sleep'!$M299+'7&amp;8 Sleep'!$Z299</f>
        <v>0</v>
      </c>
      <c r="H22" s="701">
        <f t="shared" si="13"/>
        <v>1</v>
      </c>
      <c r="I22" s="506">
        <f>'7&amp;8 Day'!$M89+'7&amp;8 Day'!$Z89</f>
        <v>0</v>
      </c>
      <c r="J22" s="506">
        <f>'7&amp;8 Day'!$M141+'7&amp;8 Day'!$Z141</f>
        <v>0</v>
      </c>
      <c r="K22" s="506">
        <f>'7&amp;8 Day'!$M193+'7&amp;8 Day'!$Z193</f>
        <v>0</v>
      </c>
      <c r="L22" s="506">
        <f>'7&amp;8 Day'!$M246+'7&amp;8 Day'!$Z246</f>
        <v>0</v>
      </c>
      <c r="M22" s="553">
        <f>'7&amp;8 Day'!$M299+'7&amp;8 Day'!$Z299</f>
        <v>0</v>
      </c>
      <c r="N22" s="291">
        <f t="shared" si="14"/>
        <v>1</v>
      </c>
      <c r="O22" s="292">
        <f>'7&amp;8 SU'!$M89+'7&amp;8 SU'!$Z89</f>
        <v>0</v>
      </c>
      <c r="P22" s="292">
        <f>'7&amp;8 SU'!$M141+'7&amp;8 SU'!$Z141</f>
        <v>0</v>
      </c>
      <c r="Q22" s="548">
        <f>'7&amp;8 SU'!$M193+'7&amp;8 SU'!$Z193</f>
        <v>0</v>
      </c>
      <c r="R22" s="292">
        <f>'7&amp;8 SU'!$M246+'7&amp;8 SU'!$Z246</f>
        <v>0</v>
      </c>
      <c r="S22" s="506">
        <f>'7&amp;8 SU'!$M299+'7&amp;8 SU'!$Z299</f>
        <v>0</v>
      </c>
      <c r="T22" s="291">
        <f>B22*'Market Data'!$E$52+H22*'Market Data'!$O$52+N22*+N22*'Market Data'!$Y$52</f>
        <v>1</v>
      </c>
      <c r="U22" s="293">
        <f>SUM(C22:G22)*'Market Data'!$E$52+SUM(I22:M22)*'Market Data'!$O$52+SUM(O22:S22)*+N22*'Market Data'!$Y$52</f>
        <v>0</v>
      </c>
      <c r="W22" s="274">
        <v>2020</v>
      </c>
      <c r="X22" s="310">
        <f>IF('Market Penetration'!B22=0,0,1000*B22*'Market Data'!$E$51/('Market Penetration'!B22*'Market Data'!$C$51))</f>
        <v>114290.39175651137</v>
      </c>
      <c r="Y22" s="311">
        <f>IF('Market Penetration'!C22=0,0,1000*C22*'Market Data'!$E$51/('Market Penetration'!C22*'Market Data'!$C$51))</f>
        <v>0</v>
      </c>
      <c r="Z22" s="311">
        <f>IF('Market Penetration'!D22=0,0,1000*D22*'Market Data'!$E$51/('Market Penetration'!D22*'Market Data'!$C$51))</f>
        <v>0</v>
      </c>
      <c r="AA22" s="543">
        <f>IF('Market Penetration'!E22=0,0,1000*E22*'Market Data'!$E$51/('Market Penetration'!E22*'Market Data'!$C$51))</f>
        <v>0</v>
      </c>
      <c r="AB22" s="311">
        <f>IF('Market Penetration'!F22=0,0,1000*F22*'Market Data'!$E$51/('Market Penetration'!F22*'Market Data'!$C$51))</f>
        <v>0</v>
      </c>
      <c r="AC22" s="538">
        <f>IF('Market Penetration'!G22=0,0,1000*G22*'Market Data'!$E$51/('Market Penetration'!G22*'Market Data'!$C$51))</f>
        <v>0</v>
      </c>
      <c r="AD22" s="310">
        <f>IF('Market Penetration'!H22=0,0,1000*H22*'Market Data'!$O$51/('Market Penetration'!H22*'Market Data'!$M$51))</f>
        <v>76984.800905352895</v>
      </c>
      <c r="AE22" s="311">
        <f>IF('Market Penetration'!I22=0,0,1000*I22*'Market Data'!$O$51/('Market Penetration'!I22*'Market Data'!$M$51))</f>
        <v>0</v>
      </c>
      <c r="AF22" s="311">
        <f>IF('Market Penetration'!J22=0,0,1000*J22*'Market Data'!$O$51/('Market Penetration'!J22*'Market Data'!$M$51))</f>
        <v>0</v>
      </c>
      <c r="AG22" s="311">
        <f>IF('Market Penetration'!K22=0,0,1000*K22*'Market Data'!$O$51/('Market Penetration'!K22*'Market Data'!$M$51))</f>
        <v>0</v>
      </c>
      <c r="AH22" s="311">
        <f>IF('Market Penetration'!L22=0,0,1000*L22*'Market Data'!$O$51/('Market Penetration'!L22*'Market Data'!$M$51))</f>
        <v>0</v>
      </c>
      <c r="AI22" s="312">
        <f>IF('Market Penetration'!M22=0,0,1000*M22*'Market Data'!$O$51/('Market Penetration'!M22*'Market Data'!$M$51))</f>
        <v>0</v>
      </c>
      <c r="AJ22" s="310">
        <f>IF('Market Penetration'!N22=0,0,1000*N22*'Market Data'!$Y$51/('Market Penetration'!N22*'Market Data'!$W$51))</f>
        <v>27261.021505205488</v>
      </c>
      <c r="AK22" s="311">
        <f>IF('Market Penetration'!O22=0,0,1000*O22*'Market Data'!$Y$51/('Market Penetration'!O22*'Market Data'!$W$51))</f>
        <v>0</v>
      </c>
      <c r="AL22" s="311">
        <f>IF('Market Penetration'!P22=0,0,1000*P22*'Market Data'!$Y$51/('Market Penetration'!P22*'Market Data'!$W$51))</f>
        <v>0</v>
      </c>
      <c r="AM22" s="543">
        <f>IF('Market Penetration'!Q22=0,0,1000*Q22*'Market Data'!$Y$51/('Market Penetration'!Q22*'Market Data'!$W$51))</f>
        <v>0</v>
      </c>
      <c r="AN22" s="311">
        <f>IF('Market Penetration'!R22=0,0,1000*R22*'Market Data'!$Y$51/('Market Penetration'!R22*'Market Data'!$W$51))</f>
        <v>0</v>
      </c>
      <c r="AO22" s="538">
        <f>IF('Market Penetration'!S22=0,0,1000*S22*'Market Data'!$Y$51/('Market Penetration'!S22*'Market Data'!$W$51))</f>
        <v>0</v>
      </c>
      <c r="AP22" s="310">
        <f>IF('Market Penetration'!T22=0,0,1000*T22*('Market Data'!$E$51+'Market Data'!$O$51+'Market Data'!$Y$51)/('Market Penetration'!T22*('Market Data'!$C$51+'Market Data'!$M$51+'Market Data'!$W$51)))</f>
        <v>81431.79238084791</v>
      </c>
      <c r="AQ22" s="312">
        <f>IF('Market Penetration'!U22=0,0,1000*U22*('Market Data'!$E$51+'Market Data'!$O$51+'Market Data'!$Y$51)/('Market Penetration'!U22*('Market Data'!$C$51+'Market Data'!$M$51+'Market Data'!$W$51)))</f>
        <v>0</v>
      </c>
    </row>
    <row r="23" spans="1:43" ht="15" x14ac:dyDescent="0.25">
      <c r="A23" s="294">
        <v>2021</v>
      </c>
      <c r="B23" s="295">
        <f t="shared" si="12"/>
        <v>1</v>
      </c>
      <c r="C23" s="296">
        <f>'7&amp;8 Sleep'!$M90+'7&amp;8 Sleep'!$Z90</f>
        <v>0</v>
      </c>
      <c r="D23" s="296">
        <f>'7&amp;8 Sleep'!$M142+'7&amp;8 Sleep'!$Z142</f>
        <v>0</v>
      </c>
      <c r="E23" s="549">
        <f>'7&amp;8 Sleep'!$M194+'7&amp;8 Sleep'!$Z194</f>
        <v>0</v>
      </c>
      <c r="F23" s="296">
        <f>'7&amp;8 Sleep'!$M247+'7&amp;8 Sleep'!$Z247</f>
        <v>0</v>
      </c>
      <c r="G23" s="507">
        <f>'7&amp;8 Sleep'!$M300+'7&amp;8 Sleep'!$Z300</f>
        <v>0</v>
      </c>
      <c r="H23" s="702">
        <f t="shared" si="13"/>
        <v>1</v>
      </c>
      <c r="I23" s="507">
        <f>'7&amp;8 Day'!$M90+'7&amp;8 Day'!$Z90</f>
        <v>0</v>
      </c>
      <c r="J23" s="507">
        <f>'7&amp;8 Day'!$M142+'7&amp;8 Day'!$Z142</f>
        <v>0</v>
      </c>
      <c r="K23" s="507">
        <f>'7&amp;8 Day'!$M194+'7&amp;8 Day'!$Z194</f>
        <v>0</v>
      </c>
      <c r="L23" s="507">
        <f>'7&amp;8 Day'!$M247+'7&amp;8 Day'!$Z247</f>
        <v>0</v>
      </c>
      <c r="M23" s="554">
        <f>'7&amp;8 Day'!$M300+'7&amp;8 Day'!$Z300</f>
        <v>0</v>
      </c>
      <c r="N23" s="295">
        <f t="shared" si="14"/>
        <v>1</v>
      </c>
      <c r="O23" s="296">
        <f>'7&amp;8 SU'!$M90+'7&amp;8 SU'!$Z90</f>
        <v>0</v>
      </c>
      <c r="P23" s="296">
        <f>'7&amp;8 SU'!$M142+'7&amp;8 SU'!$Z142</f>
        <v>0</v>
      </c>
      <c r="Q23" s="549">
        <f>'7&amp;8 SU'!$M194+'7&amp;8 SU'!$Z194</f>
        <v>0</v>
      </c>
      <c r="R23" s="296">
        <f>'7&amp;8 SU'!$M247+'7&amp;8 SU'!$Z247</f>
        <v>0</v>
      </c>
      <c r="S23" s="507">
        <f>'7&amp;8 SU'!$M300+'7&amp;8 SU'!$Z300</f>
        <v>0</v>
      </c>
      <c r="T23" s="298">
        <f>B23*'Market Data'!$E$52+H23*'Market Data'!$O$52+N23*+N23*'Market Data'!$Y$52</f>
        <v>1</v>
      </c>
      <c r="U23" s="299">
        <f>SUM(C23:G23)*'Market Data'!$E$52+SUM(I23:M23)*'Market Data'!$O$52+SUM(O23:S23)*+N23*'Market Data'!$Y$52</f>
        <v>0</v>
      </c>
      <c r="W23" s="294">
        <v>2021</v>
      </c>
      <c r="X23" s="313">
        <f>IF('Market Penetration'!B23=0,0,1000*B23*'Market Data'!$E$51/('Market Penetration'!B23*'Market Data'!$C$51))</f>
        <v>114290.39175651137</v>
      </c>
      <c r="Y23" s="314">
        <f>IF('Market Penetration'!C23=0,0,1000*C23*'Market Data'!$E$51/('Market Penetration'!C23*'Market Data'!$C$51))</f>
        <v>0</v>
      </c>
      <c r="Z23" s="314">
        <f>IF('Market Penetration'!D23=0,0,1000*D23*'Market Data'!$E$51/('Market Penetration'!D23*'Market Data'!$C$51))</f>
        <v>0</v>
      </c>
      <c r="AA23" s="544">
        <f>IF('Market Penetration'!E23=0,0,1000*E23*'Market Data'!$E$51/('Market Penetration'!E23*'Market Data'!$C$51))</f>
        <v>0</v>
      </c>
      <c r="AB23" s="314">
        <f>IF('Market Penetration'!F23=0,0,1000*F23*'Market Data'!$E$51/('Market Penetration'!F23*'Market Data'!$C$51))</f>
        <v>0</v>
      </c>
      <c r="AC23" s="539">
        <f>IF('Market Penetration'!G23=0,0,1000*G23*'Market Data'!$E$51/('Market Penetration'!G23*'Market Data'!$C$51))</f>
        <v>0</v>
      </c>
      <c r="AD23" s="313">
        <f>IF('Market Penetration'!H23=0,0,1000*H23*'Market Data'!$O$51/('Market Penetration'!H23*'Market Data'!$M$51))</f>
        <v>76984.800905352895</v>
      </c>
      <c r="AE23" s="314">
        <f>IF('Market Penetration'!I23=0,0,1000*I23*'Market Data'!$O$51/('Market Penetration'!I23*'Market Data'!$M$51))</f>
        <v>0</v>
      </c>
      <c r="AF23" s="314">
        <f>IF('Market Penetration'!J23=0,0,1000*J23*'Market Data'!$O$51/('Market Penetration'!J23*'Market Data'!$M$51))</f>
        <v>0</v>
      </c>
      <c r="AG23" s="314">
        <f>IF('Market Penetration'!K23=0,0,1000*K23*'Market Data'!$O$51/('Market Penetration'!K23*'Market Data'!$M$51))</f>
        <v>0</v>
      </c>
      <c r="AH23" s="314">
        <f>IF('Market Penetration'!L23=0,0,1000*L23*'Market Data'!$O$51/('Market Penetration'!L23*'Market Data'!$M$51))</f>
        <v>0</v>
      </c>
      <c r="AI23" s="707">
        <f>IF('Market Penetration'!M23=0,0,1000*M23*'Market Data'!$O$51/('Market Penetration'!M23*'Market Data'!$M$51))</f>
        <v>0</v>
      </c>
      <c r="AJ23" s="313">
        <f>IF('Market Penetration'!N23=0,0,1000*N23*'Market Data'!$Y$51/('Market Penetration'!N23*'Market Data'!$W$51))</f>
        <v>27261.021505205488</v>
      </c>
      <c r="AK23" s="314">
        <f>IF('Market Penetration'!O23=0,0,1000*O23*'Market Data'!$Y$51/('Market Penetration'!O23*'Market Data'!$W$51))</f>
        <v>0</v>
      </c>
      <c r="AL23" s="314">
        <f>IF('Market Penetration'!P23=0,0,1000*P23*'Market Data'!$Y$51/('Market Penetration'!P23*'Market Data'!$W$51))</f>
        <v>0</v>
      </c>
      <c r="AM23" s="544">
        <f>IF('Market Penetration'!Q23=0,0,1000*Q23*'Market Data'!$Y$51/('Market Penetration'!Q23*'Market Data'!$W$51))</f>
        <v>0</v>
      </c>
      <c r="AN23" s="314">
        <f>IF('Market Penetration'!R23=0,0,1000*R23*'Market Data'!$Y$51/('Market Penetration'!R23*'Market Data'!$W$51))</f>
        <v>0</v>
      </c>
      <c r="AO23" s="539">
        <f>IF('Market Penetration'!S23=0,0,1000*S23*'Market Data'!$Y$51/('Market Penetration'!S23*'Market Data'!$W$51))</f>
        <v>0</v>
      </c>
      <c r="AP23" s="315">
        <f>IF('Market Penetration'!T23=0,0,1000*T23*('Market Data'!$E$51+'Market Data'!$O$51+'Market Data'!$Y$51)/('Market Penetration'!T23*('Market Data'!$C$51+'Market Data'!$M$51+'Market Data'!$W$51)))</f>
        <v>81431.79238084791</v>
      </c>
      <c r="AQ23" s="316">
        <f>IF('Market Penetration'!U23=0,0,1000*U23*('Market Data'!$E$51+'Market Data'!$O$51+'Market Data'!$Y$51)/('Market Penetration'!U23*('Market Data'!$C$51+'Market Data'!$M$51+'Market Data'!$W$51)))</f>
        <v>0</v>
      </c>
    </row>
    <row r="24" spans="1:43" ht="15" x14ac:dyDescent="0.25">
      <c r="A24" s="275">
        <v>2022</v>
      </c>
      <c r="B24" s="288">
        <f t="shared" si="12"/>
        <v>1</v>
      </c>
      <c r="C24" s="289">
        <f>'7&amp;8 Sleep'!$M91+'7&amp;8 Sleep'!$Z91</f>
        <v>0</v>
      </c>
      <c r="D24" s="289">
        <f>'7&amp;8 Sleep'!$M143+'7&amp;8 Sleep'!$Z143</f>
        <v>0</v>
      </c>
      <c r="E24" s="547">
        <f>'7&amp;8 Sleep'!$M195+'7&amp;8 Sleep'!$Z195</f>
        <v>0</v>
      </c>
      <c r="F24" s="289">
        <f>'7&amp;8 Sleep'!$M248+'7&amp;8 Sleep'!$Z248</f>
        <v>0</v>
      </c>
      <c r="G24" s="505">
        <f>'7&amp;8 Sleep'!$M301+'7&amp;8 Sleep'!$Z301</f>
        <v>0</v>
      </c>
      <c r="H24" s="700">
        <f t="shared" si="13"/>
        <v>1</v>
      </c>
      <c r="I24" s="505">
        <f>'7&amp;8 Day'!$M91+'7&amp;8 Day'!$Z91</f>
        <v>0</v>
      </c>
      <c r="J24" s="505">
        <f>'7&amp;8 Day'!$M143+'7&amp;8 Day'!$Z143</f>
        <v>0</v>
      </c>
      <c r="K24" s="505">
        <f>'7&amp;8 Day'!$M195+'7&amp;8 Day'!$Z195</f>
        <v>0</v>
      </c>
      <c r="L24" s="505">
        <f>'7&amp;8 Day'!$M248+'7&amp;8 Day'!$Z248</f>
        <v>0</v>
      </c>
      <c r="M24" s="552">
        <f>'7&amp;8 Day'!$M301+'7&amp;8 Day'!$Z301</f>
        <v>0</v>
      </c>
      <c r="N24" s="288">
        <f t="shared" si="14"/>
        <v>1</v>
      </c>
      <c r="O24" s="289">
        <f>'7&amp;8 SU'!$M91+'7&amp;8 SU'!$Z91</f>
        <v>0</v>
      </c>
      <c r="P24" s="289">
        <f>'7&amp;8 SU'!$M143+'7&amp;8 SU'!$Z143</f>
        <v>0</v>
      </c>
      <c r="Q24" s="547">
        <f>'7&amp;8 SU'!$M195+'7&amp;8 SU'!$Z195</f>
        <v>0</v>
      </c>
      <c r="R24" s="289">
        <f>'7&amp;8 SU'!$M248+'7&amp;8 SU'!$Z248</f>
        <v>0</v>
      </c>
      <c r="S24" s="505">
        <f>'7&amp;8 SU'!$M301+'7&amp;8 SU'!$Z301</f>
        <v>0</v>
      </c>
      <c r="T24" s="288">
        <f>B24*'Market Data'!$E$52+H24*'Market Data'!$O$52+N24*+N24*'Market Data'!$Y$52</f>
        <v>1</v>
      </c>
      <c r="U24" s="290">
        <f>SUM(C24:G24)*'Market Data'!$E$52+SUM(I24:M24)*'Market Data'!$O$52+SUM(O24:S24)*+N24*'Market Data'!$Y$52</f>
        <v>0</v>
      </c>
      <c r="W24" s="275">
        <v>2022</v>
      </c>
      <c r="X24" s="307">
        <f>IF('Market Penetration'!B24=0,0,1000*B24*'Market Data'!$E$51/('Market Penetration'!B24*'Market Data'!$C$51))</f>
        <v>114290.39175651137</v>
      </c>
      <c r="Y24" s="308">
        <f>IF('Market Penetration'!C24=0,0,1000*C24*'Market Data'!$E$51/('Market Penetration'!C24*'Market Data'!$C$51))</f>
        <v>0</v>
      </c>
      <c r="Z24" s="308">
        <f>IF('Market Penetration'!D24=0,0,1000*D24*'Market Data'!$E$51/('Market Penetration'!D24*'Market Data'!$C$51))</f>
        <v>0</v>
      </c>
      <c r="AA24" s="542">
        <f>IF('Market Penetration'!E24=0,0,1000*E24*'Market Data'!$E$51/('Market Penetration'!E24*'Market Data'!$C$51))</f>
        <v>0</v>
      </c>
      <c r="AB24" s="308">
        <f>IF('Market Penetration'!F24=0,0,1000*F24*'Market Data'!$E$51/('Market Penetration'!F24*'Market Data'!$C$51))</f>
        <v>0</v>
      </c>
      <c r="AC24" s="537">
        <f>IF('Market Penetration'!G24=0,0,1000*G24*'Market Data'!$E$51/('Market Penetration'!G24*'Market Data'!$C$51))</f>
        <v>0</v>
      </c>
      <c r="AD24" s="307">
        <f>IF('Market Penetration'!H24=0,0,1000*H24*'Market Data'!$O$51/('Market Penetration'!H24*'Market Data'!$M$51))</f>
        <v>76984.800905352895</v>
      </c>
      <c r="AE24" s="308">
        <f>IF('Market Penetration'!I24=0,0,1000*I24*'Market Data'!$O$51/('Market Penetration'!I24*'Market Data'!$M$51))</f>
        <v>0</v>
      </c>
      <c r="AF24" s="308">
        <f>IF('Market Penetration'!J24=0,0,1000*J24*'Market Data'!$O$51/('Market Penetration'!J24*'Market Data'!$M$51))</f>
        <v>0</v>
      </c>
      <c r="AG24" s="308">
        <f>IF('Market Penetration'!K24=0,0,1000*K24*'Market Data'!$O$51/('Market Penetration'!K24*'Market Data'!$M$51))</f>
        <v>0</v>
      </c>
      <c r="AH24" s="308">
        <f>IF('Market Penetration'!L24=0,0,1000*L24*'Market Data'!$O$51/('Market Penetration'!L24*'Market Data'!$M$51))</f>
        <v>0</v>
      </c>
      <c r="AI24" s="309">
        <f>IF('Market Penetration'!M24=0,0,1000*M24*'Market Data'!$O$51/('Market Penetration'!M24*'Market Data'!$M$51))</f>
        <v>0</v>
      </c>
      <c r="AJ24" s="307">
        <f>IF('Market Penetration'!N24=0,0,1000*N24*'Market Data'!$Y$51/('Market Penetration'!N24*'Market Data'!$W$51))</f>
        <v>27261.021505205488</v>
      </c>
      <c r="AK24" s="308">
        <f>IF('Market Penetration'!O24=0,0,1000*O24*'Market Data'!$Y$51/('Market Penetration'!O24*'Market Data'!$W$51))</f>
        <v>0</v>
      </c>
      <c r="AL24" s="308">
        <f>IF('Market Penetration'!P24=0,0,1000*P24*'Market Data'!$Y$51/('Market Penetration'!P24*'Market Data'!$W$51))</f>
        <v>0</v>
      </c>
      <c r="AM24" s="542">
        <f>IF('Market Penetration'!Q24=0,0,1000*Q24*'Market Data'!$Y$51/('Market Penetration'!Q24*'Market Data'!$W$51))</f>
        <v>0</v>
      </c>
      <c r="AN24" s="308">
        <f>IF('Market Penetration'!R24=0,0,1000*R24*'Market Data'!$Y$51/('Market Penetration'!R24*'Market Data'!$W$51))</f>
        <v>0</v>
      </c>
      <c r="AO24" s="537">
        <f>IF('Market Penetration'!S24=0,0,1000*S24*'Market Data'!$Y$51/('Market Penetration'!S24*'Market Data'!$W$51))</f>
        <v>0</v>
      </c>
      <c r="AP24" s="307">
        <f>IF('Market Penetration'!T24=0,0,1000*T24*('Market Data'!$E$51+'Market Data'!$O$51+'Market Data'!$Y$51)/('Market Penetration'!T24*('Market Data'!$C$51+'Market Data'!$M$51+'Market Data'!$W$51)))</f>
        <v>81431.79238084791</v>
      </c>
      <c r="AQ24" s="309">
        <f>IF('Market Penetration'!U24=0,0,1000*U24*('Market Data'!$E$51+'Market Data'!$O$51+'Market Data'!$Y$51)/('Market Penetration'!U24*('Market Data'!$C$51+'Market Data'!$M$51+'Market Data'!$W$51)))</f>
        <v>0</v>
      </c>
    </row>
    <row r="25" spans="1:43" ht="15" x14ac:dyDescent="0.25">
      <c r="A25" s="275">
        <v>2023</v>
      </c>
      <c r="B25" s="288">
        <f t="shared" si="12"/>
        <v>1</v>
      </c>
      <c r="C25" s="289">
        <f>'7&amp;8 Sleep'!$M92+'7&amp;8 Sleep'!$Z92</f>
        <v>0</v>
      </c>
      <c r="D25" s="289">
        <f>'7&amp;8 Sleep'!$M144+'7&amp;8 Sleep'!$Z144</f>
        <v>0</v>
      </c>
      <c r="E25" s="547">
        <f>'7&amp;8 Sleep'!$M196+'7&amp;8 Sleep'!$Z196</f>
        <v>0</v>
      </c>
      <c r="F25" s="289">
        <f>'7&amp;8 Sleep'!$M249+'7&amp;8 Sleep'!$Z249</f>
        <v>0</v>
      </c>
      <c r="G25" s="505">
        <f>'7&amp;8 Sleep'!$M302+'7&amp;8 Sleep'!$Z302</f>
        <v>0</v>
      </c>
      <c r="H25" s="700">
        <f t="shared" si="13"/>
        <v>1</v>
      </c>
      <c r="I25" s="505">
        <f>'7&amp;8 Day'!$M92+'7&amp;8 Day'!$Z92</f>
        <v>0</v>
      </c>
      <c r="J25" s="505">
        <f>'7&amp;8 Day'!$M144+'7&amp;8 Day'!$Z144</f>
        <v>0</v>
      </c>
      <c r="K25" s="505">
        <f>'7&amp;8 Day'!$M196+'7&amp;8 Day'!$Z196</f>
        <v>0</v>
      </c>
      <c r="L25" s="505">
        <f>'7&amp;8 Day'!$M249+'7&amp;8 Day'!$Z249</f>
        <v>0</v>
      </c>
      <c r="M25" s="552">
        <f>'7&amp;8 Day'!$M302+'7&amp;8 Day'!$Z302</f>
        <v>0</v>
      </c>
      <c r="N25" s="288">
        <f t="shared" si="14"/>
        <v>1</v>
      </c>
      <c r="O25" s="289">
        <f>'7&amp;8 SU'!$M92+'7&amp;8 SU'!$Z92</f>
        <v>0</v>
      </c>
      <c r="P25" s="289">
        <f>'7&amp;8 SU'!$M144+'7&amp;8 SU'!$Z144</f>
        <v>0</v>
      </c>
      <c r="Q25" s="547">
        <f>'7&amp;8 SU'!$M196+'7&amp;8 SU'!$Z196</f>
        <v>0</v>
      </c>
      <c r="R25" s="289">
        <f>'7&amp;8 SU'!$M249+'7&amp;8 SU'!$Z249</f>
        <v>0</v>
      </c>
      <c r="S25" s="505">
        <f>'7&amp;8 SU'!$M302+'7&amp;8 SU'!$Z302</f>
        <v>0</v>
      </c>
      <c r="T25" s="288">
        <f>B25*'Market Data'!$E$52+H25*'Market Data'!$O$52+N25*+N25*'Market Data'!$Y$52</f>
        <v>1</v>
      </c>
      <c r="U25" s="290">
        <f>SUM(C25:G25)*'Market Data'!$E$52+SUM(I25:M25)*'Market Data'!$O$52+SUM(O25:S25)*+N25*'Market Data'!$Y$52</f>
        <v>0</v>
      </c>
      <c r="W25" s="275">
        <v>2023</v>
      </c>
      <c r="X25" s="307">
        <f>IF('Market Penetration'!B25=0,0,1000*B25*'Market Data'!$E$51/('Market Penetration'!B25*'Market Data'!$C$51))</f>
        <v>114290.39175651137</v>
      </c>
      <c r="Y25" s="308">
        <f>IF('Market Penetration'!C25=0,0,1000*C25*'Market Data'!$E$51/('Market Penetration'!C25*'Market Data'!$C$51))</f>
        <v>0</v>
      </c>
      <c r="Z25" s="308">
        <f>IF('Market Penetration'!D25=0,0,1000*D25*'Market Data'!$E$51/('Market Penetration'!D25*'Market Data'!$C$51))</f>
        <v>0</v>
      </c>
      <c r="AA25" s="542">
        <f>IF('Market Penetration'!E25=0,0,1000*E25*'Market Data'!$E$51/('Market Penetration'!E25*'Market Data'!$C$51))</f>
        <v>0</v>
      </c>
      <c r="AB25" s="308">
        <f>IF('Market Penetration'!F25=0,0,1000*F25*'Market Data'!$E$51/('Market Penetration'!F25*'Market Data'!$C$51))</f>
        <v>0</v>
      </c>
      <c r="AC25" s="537">
        <f>IF('Market Penetration'!G25=0,0,1000*G25*'Market Data'!$E$51/('Market Penetration'!G25*'Market Data'!$C$51))</f>
        <v>0</v>
      </c>
      <c r="AD25" s="307">
        <f>IF('Market Penetration'!H25=0,0,1000*H25*'Market Data'!$O$51/('Market Penetration'!H25*'Market Data'!$M$51))</f>
        <v>76984.800905352895</v>
      </c>
      <c r="AE25" s="308">
        <f>IF('Market Penetration'!I25=0,0,1000*I25*'Market Data'!$O$51/('Market Penetration'!I25*'Market Data'!$M$51))</f>
        <v>0</v>
      </c>
      <c r="AF25" s="308">
        <f>IF('Market Penetration'!J25=0,0,1000*J25*'Market Data'!$O$51/('Market Penetration'!J25*'Market Data'!$M$51))</f>
        <v>0</v>
      </c>
      <c r="AG25" s="308">
        <f>IF('Market Penetration'!K25=0,0,1000*K25*'Market Data'!$O$51/('Market Penetration'!K25*'Market Data'!$M$51))</f>
        <v>0</v>
      </c>
      <c r="AH25" s="308">
        <f>IF('Market Penetration'!L25=0,0,1000*L25*'Market Data'!$O$51/('Market Penetration'!L25*'Market Data'!$M$51))</f>
        <v>0</v>
      </c>
      <c r="AI25" s="309">
        <f>IF('Market Penetration'!M25=0,0,1000*M25*'Market Data'!$O$51/('Market Penetration'!M25*'Market Data'!$M$51))</f>
        <v>0</v>
      </c>
      <c r="AJ25" s="307">
        <f>IF('Market Penetration'!N25=0,0,1000*N25*'Market Data'!$Y$51/('Market Penetration'!N25*'Market Data'!$W$51))</f>
        <v>27261.021505205488</v>
      </c>
      <c r="AK25" s="308">
        <f>IF('Market Penetration'!O25=0,0,1000*O25*'Market Data'!$Y$51/('Market Penetration'!O25*'Market Data'!$W$51))</f>
        <v>0</v>
      </c>
      <c r="AL25" s="308">
        <f>IF('Market Penetration'!P25=0,0,1000*P25*'Market Data'!$Y$51/('Market Penetration'!P25*'Market Data'!$W$51))</f>
        <v>0</v>
      </c>
      <c r="AM25" s="542">
        <f>IF('Market Penetration'!Q25=0,0,1000*Q25*'Market Data'!$Y$51/('Market Penetration'!Q25*'Market Data'!$W$51))</f>
        <v>0</v>
      </c>
      <c r="AN25" s="308">
        <f>IF('Market Penetration'!R25=0,0,1000*R25*'Market Data'!$Y$51/('Market Penetration'!R25*'Market Data'!$W$51))</f>
        <v>0</v>
      </c>
      <c r="AO25" s="537">
        <f>IF('Market Penetration'!S25=0,0,1000*S25*'Market Data'!$Y$51/('Market Penetration'!S25*'Market Data'!$W$51))</f>
        <v>0</v>
      </c>
      <c r="AP25" s="307">
        <f>IF('Market Penetration'!T25=0,0,1000*T25*('Market Data'!$E$51+'Market Data'!$O$51+'Market Data'!$Y$51)/('Market Penetration'!T25*('Market Data'!$C$51+'Market Data'!$M$51+'Market Data'!$W$51)))</f>
        <v>81431.79238084791</v>
      </c>
      <c r="AQ25" s="309">
        <f>IF('Market Penetration'!U25=0,0,1000*U25*('Market Data'!$E$51+'Market Data'!$O$51+'Market Data'!$Y$51)/('Market Penetration'!U25*('Market Data'!$C$51+'Market Data'!$M$51+'Market Data'!$W$51)))</f>
        <v>0</v>
      </c>
    </row>
    <row r="26" spans="1:43" ht="15" x14ac:dyDescent="0.25">
      <c r="A26" s="275">
        <v>2024</v>
      </c>
      <c r="B26" s="288">
        <f t="shared" si="12"/>
        <v>1</v>
      </c>
      <c r="C26" s="289">
        <f>'7&amp;8 Sleep'!$M93+'7&amp;8 Sleep'!$Z93</f>
        <v>0</v>
      </c>
      <c r="D26" s="289">
        <f>'7&amp;8 Sleep'!$M145+'7&amp;8 Sleep'!$Z145</f>
        <v>0</v>
      </c>
      <c r="E26" s="547">
        <f>'7&amp;8 Sleep'!$M197+'7&amp;8 Sleep'!$Z197</f>
        <v>0</v>
      </c>
      <c r="F26" s="289">
        <f>'7&amp;8 Sleep'!$M250+'7&amp;8 Sleep'!$Z250</f>
        <v>0</v>
      </c>
      <c r="G26" s="505">
        <f>'7&amp;8 Sleep'!$M303+'7&amp;8 Sleep'!$Z303</f>
        <v>0</v>
      </c>
      <c r="H26" s="700">
        <f t="shared" si="13"/>
        <v>1</v>
      </c>
      <c r="I26" s="505">
        <f>'7&amp;8 Day'!$M93+'7&amp;8 Day'!$Z93</f>
        <v>0</v>
      </c>
      <c r="J26" s="505">
        <f>'7&amp;8 Day'!$M145+'7&amp;8 Day'!$Z145</f>
        <v>0</v>
      </c>
      <c r="K26" s="505">
        <f>'7&amp;8 Day'!$M197+'7&amp;8 Day'!$Z197</f>
        <v>0</v>
      </c>
      <c r="L26" s="505">
        <f>'7&amp;8 Day'!$M250+'7&amp;8 Day'!$Z250</f>
        <v>0</v>
      </c>
      <c r="M26" s="552">
        <f>'7&amp;8 Day'!$M303+'7&amp;8 Day'!$Z303</f>
        <v>0</v>
      </c>
      <c r="N26" s="288">
        <f t="shared" si="14"/>
        <v>1</v>
      </c>
      <c r="O26" s="289">
        <f>'7&amp;8 SU'!$M93+'7&amp;8 SU'!$Z93</f>
        <v>0</v>
      </c>
      <c r="P26" s="289">
        <f>'7&amp;8 SU'!$M145+'7&amp;8 SU'!$Z145</f>
        <v>0</v>
      </c>
      <c r="Q26" s="547">
        <f>'7&amp;8 SU'!$M197+'7&amp;8 SU'!$Z197</f>
        <v>0</v>
      </c>
      <c r="R26" s="289">
        <f>'7&amp;8 SU'!$M250+'7&amp;8 SU'!$Z250</f>
        <v>0</v>
      </c>
      <c r="S26" s="505">
        <f>'7&amp;8 SU'!$M303+'7&amp;8 SU'!$Z303</f>
        <v>0</v>
      </c>
      <c r="T26" s="288">
        <f>B26*'Market Data'!$E$52+H26*'Market Data'!$O$52+N26*+N26*'Market Data'!$Y$52</f>
        <v>1</v>
      </c>
      <c r="U26" s="290">
        <f>SUM(C26:G26)*'Market Data'!$E$52+SUM(I26:M26)*'Market Data'!$O$52+SUM(O26:S26)*+N26*'Market Data'!$Y$52</f>
        <v>0</v>
      </c>
      <c r="W26" s="275">
        <v>2024</v>
      </c>
      <c r="X26" s="307">
        <f>IF('Market Penetration'!B26=0,0,1000*B26*'Market Data'!$E$51/('Market Penetration'!B26*'Market Data'!$C$51))</f>
        <v>114290.39175651137</v>
      </c>
      <c r="Y26" s="308">
        <f>IF('Market Penetration'!C26=0,0,1000*C26*'Market Data'!$E$51/('Market Penetration'!C26*'Market Data'!$C$51))</f>
        <v>0</v>
      </c>
      <c r="Z26" s="308">
        <f>IF('Market Penetration'!D26=0,0,1000*D26*'Market Data'!$E$51/('Market Penetration'!D26*'Market Data'!$C$51))</f>
        <v>0</v>
      </c>
      <c r="AA26" s="542">
        <f>IF('Market Penetration'!E26=0,0,1000*E26*'Market Data'!$E$51/('Market Penetration'!E26*'Market Data'!$C$51))</f>
        <v>0</v>
      </c>
      <c r="AB26" s="308">
        <f>IF('Market Penetration'!F26=0,0,1000*F26*'Market Data'!$E$51/('Market Penetration'!F26*'Market Data'!$C$51))</f>
        <v>0</v>
      </c>
      <c r="AC26" s="537">
        <f>IF('Market Penetration'!G26=0,0,1000*G26*'Market Data'!$E$51/('Market Penetration'!G26*'Market Data'!$C$51))</f>
        <v>0</v>
      </c>
      <c r="AD26" s="307">
        <f>IF('Market Penetration'!H26=0,0,1000*H26*'Market Data'!$O$51/('Market Penetration'!H26*'Market Data'!$M$51))</f>
        <v>76984.800905352895</v>
      </c>
      <c r="AE26" s="308">
        <f>IF('Market Penetration'!I26=0,0,1000*I26*'Market Data'!$O$51/('Market Penetration'!I26*'Market Data'!$M$51))</f>
        <v>0</v>
      </c>
      <c r="AF26" s="308">
        <f>IF('Market Penetration'!J26=0,0,1000*J26*'Market Data'!$O$51/('Market Penetration'!J26*'Market Data'!$M$51))</f>
        <v>0</v>
      </c>
      <c r="AG26" s="308">
        <f>IF('Market Penetration'!K26=0,0,1000*K26*'Market Data'!$O$51/('Market Penetration'!K26*'Market Data'!$M$51))</f>
        <v>0</v>
      </c>
      <c r="AH26" s="308">
        <f>IF('Market Penetration'!L26=0,0,1000*L26*'Market Data'!$O$51/('Market Penetration'!L26*'Market Data'!$M$51))</f>
        <v>0</v>
      </c>
      <c r="AI26" s="309">
        <f>IF('Market Penetration'!M26=0,0,1000*M26*'Market Data'!$O$51/('Market Penetration'!M26*'Market Data'!$M$51))</f>
        <v>0</v>
      </c>
      <c r="AJ26" s="307">
        <f>IF('Market Penetration'!N26=0,0,1000*N26*'Market Data'!$Y$51/('Market Penetration'!N26*'Market Data'!$W$51))</f>
        <v>27261.021505205488</v>
      </c>
      <c r="AK26" s="308">
        <f>IF('Market Penetration'!O26=0,0,1000*O26*'Market Data'!$Y$51/('Market Penetration'!O26*'Market Data'!$W$51))</f>
        <v>0</v>
      </c>
      <c r="AL26" s="308">
        <f>IF('Market Penetration'!P26=0,0,1000*P26*'Market Data'!$Y$51/('Market Penetration'!P26*'Market Data'!$W$51))</f>
        <v>0</v>
      </c>
      <c r="AM26" s="542">
        <f>IF('Market Penetration'!Q26=0,0,1000*Q26*'Market Data'!$Y$51/('Market Penetration'!Q26*'Market Data'!$W$51))</f>
        <v>0</v>
      </c>
      <c r="AN26" s="308">
        <f>IF('Market Penetration'!R26=0,0,1000*R26*'Market Data'!$Y$51/('Market Penetration'!R26*'Market Data'!$W$51))</f>
        <v>0</v>
      </c>
      <c r="AO26" s="537">
        <f>IF('Market Penetration'!S26=0,0,1000*S26*'Market Data'!$Y$51/('Market Penetration'!S26*'Market Data'!$W$51))</f>
        <v>0</v>
      </c>
      <c r="AP26" s="307">
        <f>IF('Market Penetration'!T26=0,0,1000*T26*('Market Data'!$E$51+'Market Data'!$O$51+'Market Data'!$Y$51)/('Market Penetration'!T26*('Market Data'!$C$51+'Market Data'!$M$51+'Market Data'!$W$51)))</f>
        <v>81431.79238084791</v>
      </c>
      <c r="AQ26" s="309">
        <f>IF('Market Penetration'!U26=0,0,1000*U26*('Market Data'!$E$51+'Market Data'!$O$51+'Market Data'!$Y$51)/('Market Penetration'!U26*('Market Data'!$C$51+'Market Data'!$M$51+'Market Data'!$W$51)))</f>
        <v>0</v>
      </c>
    </row>
    <row r="27" spans="1:43" ht="15" x14ac:dyDescent="0.25">
      <c r="A27" s="274">
        <v>2025</v>
      </c>
      <c r="B27" s="291">
        <f t="shared" si="12"/>
        <v>1</v>
      </c>
      <c r="C27" s="292">
        <f>'7&amp;8 Sleep'!$M94+'7&amp;8 Sleep'!$Z94</f>
        <v>0</v>
      </c>
      <c r="D27" s="292">
        <f>'7&amp;8 Sleep'!$M146+'7&amp;8 Sleep'!$Z146</f>
        <v>0</v>
      </c>
      <c r="E27" s="548">
        <f>'7&amp;8 Sleep'!$M198+'7&amp;8 Sleep'!$Z198</f>
        <v>0</v>
      </c>
      <c r="F27" s="292">
        <f>'7&amp;8 Sleep'!$M251+'7&amp;8 Sleep'!$Z251</f>
        <v>0</v>
      </c>
      <c r="G27" s="506">
        <f>'7&amp;8 Sleep'!$M304+'7&amp;8 Sleep'!$Z304</f>
        <v>0</v>
      </c>
      <c r="H27" s="701">
        <f t="shared" si="13"/>
        <v>1</v>
      </c>
      <c r="I27" s="506">
        <f>'7&amp;8 Day'!$M94+'7&amp;8 Day'!$Z94</f>
        <v>0</v>
      </c>
      <c r="J27" s="506">
        <f>'7&amp;8 Day'!$M146+'7&amp;8 Day'!$Z146</f>
        <v>0</v>
      </c>
      <c r="K27" s="506">
        <f>'7&amp;8 Day'!$M198+'7&amp;8 Day'!$Z198</f>
        <v>0</v>
      </c>
      <c r="L27" s="506">
        <f>'7&amp;8 Day'!$M251+'7&amp;8 Day'!$Z251</f>
        <v>0</v>
      </c>
      <c r="M27" s="553">
        <f>'7&amp;8 Day'!$M304+'7&amp;8 Day'!$Z304</f>
        <v>0</v>
      </c>
      <c r="N27" s="291">
        <f t="shared" si="14"/>
        <v>1</v>
      </c>
      <c r="O27" s="292">
        <f>'7&amp;8 SU'!$M94+'7&amp;8 SU'!$Z94</f>
        <v>0</v>
      </c>
      <c r="P27" s="292">
        <f>'7&amp;8 SU'!$M146+'7&amp;8 SU'!$Z146</f>
        <v>0</v>
      </c>
      <c r="Q27" s="548">
        <f>'7&amp;8 SU'!$M198+'7&amp;8 SU'!$Z198</f>
        <v>0</v>
      </c>
      <c r="R27" s="292">
        <f>'7&amp;8 SU'!$M251+'7&amp;8 SU'!$Z251</f>
        <v>0</v>
      </c>
      <c r="S27" s="506">
        <f>'7&amp;8 SU'!$M304+'7&amp;8 SU'!$Z304</f>
        <v>0</v>
      </c>
      <c r="T27" s="291">
        <f>B27*'Market Data'!$E$52+H27*'Market Data'!$O$52+N27*+N27*'Market Data'!$Y$52</f>
        <v>1</v>
      </c>
      <c r="U27" s="293">
        <f>SUM(C27:G27)*'Market Data'!$E$52+SUM(I27:M27)*'Market Data'!$O$52+SUM(O27:S27)*+N27*'Market Data'!$Y$52</f>
        <v>0</v>
      </c>
      <c r="W27" s="274">
        <v>2025</v>
      </c>
      <c r="X27" s="310">
        <f>IF('Market Penetration'!B27=0,0,1000*B27*'Market Data'!$E$51/('Market Penetration'!B27*'Market Data'!$C$51))</f>
        <v>114290.39175651137</v>
      </c>
      <c r="Y27" s="311">
        <f>IF('Market Penetration'!C27=0,0,1000*C27*'Market Data'!$E$51/('Market Penetration'!C27*'Market Data'!$C$51))</f>
        <v>0</v>
      </c>
      <c r="Z27" s="311">
        <f>IF('Market Penetration'!D27=0,0,1000*D27*'Market Data'!$E$51/('Market Penetration'!D27*'Market Data'!$C$51))</f>
        <v>0</v>
      </c>
      <c r="AA27" s="543">
        <f>IF('Market Penetration'!E27=0,0,1000*E27*'Market Data'!$E$51/('Market Penetration'!E27*'Market Data'!$C$51))</f>
        <v>0</v>
      </c>
      <c r="AB27" s="311">
        <f>IF('Market Penetration'!F27=0,0,1000*F27*'Market Data'!$E$51/('Market Penetration'!F27*'Market Data'!$C$51))</f>
        <v>0</v>
      </c>
      <c r="AC27" s="538">
        <f>IF('Market Penetration'!G27=0,0,1000*G27*'Market Data'!$E$51/('Market Penetration'!G27*'Market Data'!$C$51))</f>
        <v>0</v>
      </c>
      <c r="AD27" s="310">
        <f>IF('Market Penetration'!H27=0,0,1000*H27*'Market Data'!$O$51/('Market Penetration'!H27*'Market Data'!$M$51))</f>
        <v>76984.800905352895</v>
      </c>
      <c r="AE27" s="311">
        <f>IF('Market Penetration'!I27=0,0,1000*I27*'Market Data'!$O$51/('Market Penetration'!I27*'Market Data'!$M$51))</f>
        <v>0</v>
      </c>
      <c r="AF27" s="311">
        <f>IF('Market Penetration'!J27=0,0,1000*J27*'Market Data'!$O$51/('Market Penetration'!J27*'Market Data'!$M$51))</f>
        <v>0</v>
      </c>
      <c r="AG27" s="311">
        <f>IF('Market Penetration'!K27=0,0,1000*K27*'Market Data'!$O$51/('Market Penetration'!K27*'Market Data'!$M$51))</f>
        <v>0</v>
      </c>
      <c r="AH27" s="311">
        <f>IF('Market Penetration'!L27=0,0,1000*L27*'Market Data'!$O$51/('Market Penetration'!L27*'Market Data'!$M$51))</f>
        <v>0</v>
      </c>
      <c r="AI27" s="312">
        <f>IF('Market Penetration'!M27=0,0,1000*M27*'Market Data'!$O$51/('Market Penetration'!M27*'Market Data'!$M$51))</f>
        <v>0</v>
      </c>
      <c r="AJ27" s="310">
        <f>IF('Market Penetration'!N27=0,0,1000*N27*'Market Data'!$Y$51/('Market Penetration'!N27*'Market Data'!$W$51))</f>
        <v>27261.021505205488</v>
      </c>
      <c r="AK27" s="311">
        <f>IF('Market Penetration'!O27=0,0,1000*O27*'Market Data'!$Y$51/('Market Penetration'!O27*'Market Data'!$W$51))</f>
        <v>0</v>
      </c>
      <c r="AL27" s="311">
        <f>IF('Market Penetration'!P27=0,0,1000*P27*'Market Data'!$Y$51/('Market Penetration'!P27*'Market Data'!$W$51))</f>
        <v>0</v>
      </c>
      <c r="AM27" s="543">
        <f>IF('Market Penetration'!Q27=0,0,1000*Q27*'Market Data'!$Y$51/('Market Penetration'!Q27*'Market Data'!$W$51))</f>
        <v>0</v>
      </c>
      <c r="AN27" s="311">
        <f>IF('Market Penetration'!R27=0,0,1000*R27*'Market Data'!$Y$51/('Market Penetration'!R27*'Market Data'!$W$51))</f>
        <v>0</v>
      </c>
      <c r="AO27" s="538">
        <f>IF('Market Penetration'!S27=0,0,1000*S27*'Market Data'!$Y$51/('Market Penetration'!S27*'Market Data'!$W$51))</f>
        <v>0</v>
      </c>
      <c r="AP27" s="310">
        <f>IF('Market Penetration'!T27=0,0,1000*T27*('Market Data'!$E$51+'Market Data'!$O$51+'Market Data'!$Y$51)/('Market Penetration'!T27*('Market Data'!$C$51+'Market Data'!$M$51+'Market Data'!$W$51)))</f>
        <v>81431.79238084791</v>
      </c>
      <c r="AQ27" s="312">
        <f>IF('Market Penetration'!U27=0,0,1000*U27*('Market Data'!$E$51+'Market Data'!$O$51+'Market Data'!$Y$51)/('Market Penetration'!U27*('Market Data'!$C$51+'Market Data'!$M$51+'Market Data'!$W$51)))</f>
        <v>0</v>
      </c>
    </row>
    <row r="28" spans="1:43" ht="15" x14ac:dyDescent="0.25">
      <c r="A28" s="294">
        <v>2026</v>
      </c>
      <c r="B28" s="295">
        <f t="shared" si="12"/>
        <v>0.96933095965765015</v>
      </c>
      <c r="C28" s="296">
        <f>'7&amp;8 Sleep'!$M95+'7&amp;8 Sleep'!$Z95</f>
        <v>1.793206162966654E-2</v>
      </c>
      <c r="D28" s="296">
        <f>'7&amp;8 Sleep'!$M147+'7&amp;8 Sleep'!$Z147</f>
        <v>1.2736978712683356E-2</v>
      </c>
      <c r="E28" s="549">
        <f>'7&amp;8 Sleep'!$M199+'7&amp;8 Sleep'!$Z199</f>
        <v>0</v>
      </c>
      <c r="F28" s="296">
        <f>'7&amp;8 Sleep'!$M252+'7&amp;8 Sleep'!$Z252</f>
        <v>0</v>
      </c>
      <c r="G28" s="507">
        <f>'7&amp;8 Sleep'!$M305+'7&amp;8 Sleep'!$Z305</f>
        <v>0</v>
      </c>
      <c r="H28" s="702">
        <f t="shared" si="13"/>
        <v>0.97508509230326323</v>
      </c>
      <c r="I28" s="507">
        <f>'7&amp;8 Day'!$M95+'7&amp;8 Day'!$Z95</f>
        <v>1.4799869203217669E-2</v>
      </c>
      <c r="J28" s="507">
        <f>'7&amp;8 Day'!$M147+'7&amp;8 Day'!$Z147</f>
        <v>1.0115038493519052E-2</v>
      </c>
      <c r="K28" s="507">
        <f>'7&amp;8 Day'!$M199+'7&amp;8 Day'!$Z199</f>
        <v>0</v>
      </c>
      <c r="L28" s="507">
        <f>'7&amp;8 Day'!$M252+'7&amp;8 Day'!$Z252</f>
        <v>0</v>
      </c>
      <c r="M28" s="554">
        <f>'7&amp;8 Day'!$M305+'7&amp;8 Day'!$Z305</f>
        <v>0</v>
      </c>
      <c r="N28" s="295">
        <f t="shared" si="14"/>
        <v>0.97399387093798517</v>
      </c>
      <c r="O28" s="296">
        <f>'7&amp;8 SU'!$M95+'7&amp;8 SU'!$Z95</f>
        <v>9.7271817538726775E-3</v>
      </c>
      <c r="P28" s="296">
        <f>'7&amp;8 SU'!$M147+'7&amp;8 SU'!$Z147</f>
        <v>1.6278832816206394E-2</v>
      </c>
      <c r="Q28" s="549">
        <f>'7&amp;8 SU'!$M199+'7&amp;8 SU'!$Z199</f>
        <v>0</v>
      </c>
      <c r="R28" s="296">
        <f>'7&amp;8 SU'!$M252+'7&amp;8 SU'!$Z252</f>
        <v>0</v>
      </c>
      <c r="S28" s="507">
        <f>'7&amp;8 SU'!$M305+'7&amp;8 SU'!$Z305</f>
        <v>1.1449193574182888E-7</v>
      </c>
      <c r="T28" s="298">
        <f>B28*'Market Data'!$E$52+H28*'Market Data'!$O$52+N28*+N28*'Market Data'!$Y$52</f>
        <v>0.96886946570773735</v>
      </c>
      <c r="U28" s="299">
        <f>SUM(C28:G28)*'Market Data'!$E$52+SUM(I28:M28)*'Market Data'!$O$52+SUM(O28:S28)*+N28*'Market Data'!$Y$52</f>
        <v>2.8798346058265777E-2</v>
      </c>
      <c r="W28" s="294">
        <v>2026</v>
      </c>
      <c r="X28" s="313">
        <f>IF('Market Penetration'!B28=0,0,1000*B28*'Market Data'!$E$51/('Market Penetration'!B28*'Market Data'!$C$51))</f>
        <v>113844.88553309903</v>
      </c>
      <c r="Y28" s="314">
        <f>IF('Market Penetration'!C28=0,0,1000*C28*'Market Data'!$E$51/('Market Penetration'!C28*'Market Data'!$C$51))</f>
        <v>127830.76167836836</v>
      </c>
      <c r="Z28" s="314">
        <f>IF('Market Penetration'!D28=0,0,1000*D28*'Market Data'!$E$51/('Market Penetration'!D28*'Market Data'!$C$51))</f>
        <v>134251.84675509404</v>
      </c>
      <c r="AA28" s="544">
        <f>IF('Market Penetration'!E28=0,0,1000*E28*'Market Data'!$E$51/('Market Penetration'!E28*'Market Data'!$C$51))</f>
        <v>0</v>
      </c>
      <c r="AB28" s="314">
        <f>IF('Market Penetration'!F28=0,0,1000*F28*'Market Data'!$E$51/('Market Penetration'!F28*'Market Data'!$C$51))</f>
        <v>0</v>
      </c>
      <c r="AC28" s="539">
        <f>IF('Market Penetration'!G28=0,0,1000*G28*'Market Data'!$E$51/('Market Penetration'!G28*'Market Data'!$C$51))</f>
        <v>0</v>
      </c>
      <c r="AD28" s="313">
        <f>IF('Market Penetration'!H28=0,0,1000*H28*'Market Data'!$O$51/('Market Penetration'!H28*'Market Data'!$M$51))</f>
        <v>76349.568427292572</v>
      </c>
      <c r="AE28" s="314">
        <f>IF('Market Penetration'!I28=0,0,1000*I28*'Market Data'!$O$51/('Market Penetration'!I28*'Market Data'!$M$51))</f>
        <v>110005.01717645318</v>
      </c>
      <c r="AF28" s="314">
        <f>IF('Market Penetration'!J28=0,0,1000*J28*'Market Data'!$O$51/('Market Penetration'!J28*'Market Data'!$M$51))</f>
        <v>120827.55998187355</v>
      </c>
      <c r="AG28" s="314">
        <f>IF('Market Penetration'!K28=0,0,1000*K28*'Market Data'!$O$51/('Market Penetration'!K28*'Market Data'!$M$51))</f>
        <v>0</v>
      </c>
      <c r="AH28" s="314">
        <f>IF('Market Penetration'!L28=0,0,1000*L28*'Market Data'!$O$51/('Market Penetration'!L28*'Market Data'!$M$51))</f>
        <v>0</v>
      </c>
      <c r="AI28" s="707">
        <f>IF('Market Penetration'!M28=0,0,1000*M28*'Market Data'!$O$51/('Market Penetration'!M28*'Market Data'!$M$51))</f>
        <v>0</v>
      </c>
      <c r="AJ28" s="313">
        <f>IF('Market Penetration'!N28=0,0,1000*N28*'Market Data'!$Y$51/('Market Penetration'!N28*'Market Data'!$W$51))</f>
        <v>26975.419178642111</v>
      </c>
      <c r="AK28" s="314">
        <f>IF('Market Penetration'!O28=0,0,1000*O28*'Market Data'!$Y$51/('Market Penetration'!O28*'Market Data'!$W$51))</f>
        <v>52294.463685995681</v>
      </c>
      <c r="AL28" s="314">
        <f>IF('Market Penetration'!P28=0,0,1000*P28*'Market Data'!$Y$51/('Market Penetration'!P28*'Market Data'!$W$51))</f>
        <v>41774.43881245565</v>
      </c>
      <c r="AM28" s="544">
        <f>IF('Market Penetration'!Q28=0,0,1000*Q28*'Market Data'!$Y$51/('Market Penetration'!Q28*'Market Data'!$W$51))</f>
        <v>0</v>
      </c>
      <c r="AN28" s="314">
        <f>IF('Market Penetration'!R28=0,0,1000*R28*'Market Data'!$Y$51/('Market Penetration'!R28*'Market Data'!$W$51))</f>
        <v>0</v>
      </c>
      <c r="AO28" s="539">
        <f>IF('Market Penetration'!S28=0,0,1000*S28*'Market Data'!$Y$51/('Market Penetration'!S28*'Market Data'!$W$51))</f>
        <v>192442.63825648595</v>
      </c>
      <c r="AP28" s="315">
        <f>IF('Market Penetration'!T28=0,0,1000*T28*('Market Data'!$E$51+'Market Data'!$O$51+'Market Data'!$Y$51)/('Market Penetration'!T28*('Market Data'!$C$51+'Market Data'!$M$51+'Market Data'!$W$51)))</f>
        <v>80614.091867800002</v>
      </c>
      <c r="AQ28" s="316">
        <f>IF('Market Penetration'!U28=0,0,1000*U28*('Market Data'!$E$51+'Market Data'!$O$51+'Market Data'!$Y$51)/('Market Penetration'!U28*('Market Data'!$C$51+'Market Data'!$M$51+'Market Data'!$W$51)))</f>
        <v>110083.59926675327</v>
      </c>
    </row>
    <row r="29" spans="1:43" ht="15" x14ac:dyDescent="0.25">
      <c r="A29" s="275">
        <v>2027</v>
      </c>
      <c r="B29" s="288">
        <f t="shared" si="12"/>
        <v>0.94659949648570474</v>
      </c>
      <c r="C29" s="289">
        <f>'7&amp;8 Sleep'!$M96+'7&amp;8 Sleep'!$Z96</f>
        <v>2.5754427405361949E-2</v>
      </c>
      <c r="D29" s="289">
        <f>'7&amp;8 Sleep'!$M148+'7&amp;8 Sleep'!$Z148</f>
        <v>2.7646076108933264E-2</v>
      </c>
      <c r="E29" s="547">
        <f>'7&amp;8 Sleep'!$M200+'7&amp;8 Sleep'!$Z200</f>
        <v>0</v>
      </c>
      <c r="F29" s="289">
        <f>'7&amp;8 Sleep'!$M253+'7&amp;8 Sleep'!$Z253</f>
        <v>0</v>
      </c>
      <c r="G29" s="505">
        <f>'7&amp;8 Sleep'!$M306+'7&amp;8 Sleep'!$Z306</f>
        <v>0</v>
      </c>
      <c r="H29" s="700">
        <f t="shared" si="13"/>
        <v>0.95413906648985292</v>
      </c>
      <c r="I29" s="505">
        <f>'7&amp;8 Day'!$M96+'7&amp;8 Day'!$Z96</f>
        <v>2.5873919978116375E-2</v>
      </c>
      <c r="J29" s="505">
        <f>'7&amp;8 Day'!$M148+'7&amp;8 Day'!$Z148</f>
        <v>1.9987013532030661E-2</v>
      </c>
      <c r="K29" s="505">
        <f>'7&amp;8 Day'!$M200+'7&amp;8 Day'!$Z200</f>
        <v>0</v>
      </c>
      <c r="L29" s="505">
        <f>'7&amp;8 Day'!$M253+'7&amp;8 Day'!$Z253</f>
        <v>0</v>
      </c>
      <c r="M29" s="552">
        <f>'7&amp;8 Day'!$M306+'7&amp;8 Day'!$Z306</f>
        <v>0</v>
      </c>
      <c r="N29" s="288">
        <f t="shared" si="14"/>
        <v>0.93459174296060954</v>
      </c>
      <c r="O29" s="289">
        <f>'7&amp;8 SU'!$M96+'7&amp;8 SU'!$Z96</f>
        <v>2.58750487637342E-3</v>
      </c>
      <c r="P29" s="289">
        <f>'7&amp;8 SU'!$M148+'7&amp;8 SU'!$Z148</f>
        <v>6.2818607932607073E-2</v>
      </c>
      <c r="Q29" s="547">
        <f>'7&amp;8 SU'!$M200+'7&amp;8 SU'!$Z200</f>
        <v>0</v>
      </c>
      <c r="R29" s="289">
        <f>'7&amp;8 SU'!$M253+'7&amp;8 SU'!$Z253</f>
        <v>0</v>
      </c>
      <c r="S29" s="505">
        <f>'7&amp;8 SU'!$M306+'7&amp;8 SU'!$Z306</f>
        <v>2.1442304099583558E-6</v>
      </c>
      <c r="T29" s="288">
        <f>B29*'Market Data'!$E$52+H29*'Market Data'!$O$52+N29*+N29*'Market Data'!$Y$52</f>
        <v>0.94186438198528022</v>
      </c>
      <c r="U29" s="290">
        <f>SUM(C29:G29)*'Market Data'!$E$52+SUM(I29:M29)*'Market Data'!$O$52+SUM(O29:S29)*+N29*'Market Data'!$Y$52</f>
        <v>5.2269909699970668E-2</v>
      </c>
      <c r="W29" s="275">
        <v>2027</v>
      </c>
      <c r="X29" s="307">
        <f>IF('Market Penetration'!B29=0,0,1000*B29*'Market Data'!$E$51/('Market Penetration'!B29*'Market Data'!$C$51))</f>
        <v>113228.00791030721</v>
      </c>
      <c r="Y29" s="308">
        <f>IF('Market Penetration'!C29=0,0,1000*C29*'Market Data'!$E$51/('Market Penetration'!C29*'Market Data'!$C$51))</f>
        <v>137897.53457333721</v>
      </c>
      <c r="Z29" s="308">
        <f>IF('Market Penetration'!D29=0,0,1000*D29*'Market Data'!$E$51/('Market Penetration'!D29*'Market Data'!$C$51))</f>
        <v>136349.41993803633</v>
      </c>
      <c r="AA29" s="542">
        <f>IF('Market Penetration'!E29=0,0,1000*E29*'Market Data'!$E$51/('Market Penetration'!E29*'Market Data'!$C$51))</f>
        <v>0</v>
      </c>
      <c r="AB29" s="308">
        <f>IF('Market Penetration'!F29=0,0,1000*F29*'Market Data'!$E$51/('Market Penetration'!F29*'Market Data'!$C$51))</f>
        <v>0</v>
      </c>
      <c r="AC29" s="537">
        <f>IF('Market Penetration'!G29=0,0,1000*G29*'Market Data'!$E$51/('Market Penetration'!G29*'Market Data'!$C$51))</f>
        <v>0</v>
      </c>
      <c r="AD29" s="307">
        <f>IF('Market Penetration'!H29=0,0,1000*H29*'Market Data'!$O$51/('Market Penetration'!H29*'Market Data'!$M$51))</f>
        <v>75616.553399424418</v>
      </c>
      <c r="AE29" s="308">
        <f>IF('Market Penetration'!I29=0,0,1000*I29*'Market Data'!$O$51/('Market Penetration'!I29*'Market Data'!$M$51))</f>
        <v>120695.21355982065</v>
      </c>
      <c r="AF29" s="308">
        <f>IF('Market Penetration'!J29=0,0,1000*J29*'Market Data'!$O$51/('Market Penetration'!J29*'Market Data'!$M$51))</f>
        <v>127242.01880526359</v>
      </c>
      <c r="AG29" s="308">
        <f>IF('Market Penetration'!K29=0,0,1000*K29*'Market Data'!$O$51/('Market Penetration'!K29*'Market Data'!$M$51))</f>
        <v>0</v>
      </c>
      <c r="AH29" s="308">
        <f>IF('Market Penetration'!L29=0,0,1000*L29*'Market Data'!$O$51/('Market Penetration'!L29*'Market Data'!$M$51))</f>
        <v>0</v>
      </c>
      <c r="AI29" s="309">
        <f>IF('Market Penetration'!M29=0,0,1000*M29*'Market Data'!$O$51/('Market Penetration'!M29*'Market Data'!$M$51))</f>
        <v>0</v>
      </c>
      <c r="AJ29" s="307">
        <f>IF('Market Penetration'!N29=0,0,1000*N29*'Market Data'!$Y$51/('Market Penetration'!N29*'Market Data'!$W$51))</f>
        <v>26525.714993713485</v>
      </c>
      <c r="AK29" s="308">
        <f>IF('Market Penetration'!O29=0,0,1000*O29*'Market Data'!$Y$51/('Market Penetration'!O29*'Market Data'!$W$51))</f>
        <v>132453.65105356259</v>
      </c>
      <c r="AL29" s="308">
        <f>IF('Market Penetration'!P29=0,0,1000*P29*'Market Data'!$Y$51/('Market Penetration'!P29*'Market Data'!$W$51))</f>
        <v>43946.279183397615</v>
      </c>
      <c r="AM29" s="542">
        <f>IF('Market Penetration'!Q29=0,0,1000*Q29*'Market Data'!$Y$51/('Market Penetration'!Q29*'Market Data'!$W$51))</f>
        <v>0</v>
      </c>
      <c r="AN29" s="308">
        <f>IF('Market Penetration'!R29=0,0,1000*R29*'Market Data'!$Y$51/('Market Penetration'!R29*'Market Data'!$W$51))</f>
        <v>0</v>
      </c>
      <c r="AO29" s="537">
        <f>IF('Market Penetration'!S29=0,0,1000*S29*'Market Data'!$Y$51/('Market Penetration'!S29*'Market Data'!$W$51))</f>
        <v>180285.58301991766</v>
      </c>
      <c r="AP29" s="307">
        <f>IF('Market Penetration'!T29=0,0,1000*T29*('Market Data'!$E$51+'Market Data'!$O$51+'Market Data'!$Y$51)/('Market Penetration'!T29*('Market Data'!$C$51+'Market Data'!$M$51+'Market Data'!$W$51)))</f>
        <v>79818.661869947973</v>
      </c>
      <c r="AQ29" s="309">
        <f>IF('Market Penetration'!U29=0,0,1000*U29*('Market Data'!$E$51+'Market Data'!$O$51+'Market Data'!$Y$51)/('Market Penetration'!U29*('Market Data'!$C$51+'Market Data'!$M$51+'Market Data'!$W$51)))</f>
        <v>108858.51171919392</v>
      </c>
    </row>
    <row r="30" spans="1:43" ht="15" x14ac:dyDescent="0.25">
      <c r="A30" s="275">
        <v>2028</v>
      </c>
      <c r="B30" s="288">
        <f t="shared" si="12"/>
        <v>0.77441323592231059</v>
      </c>
      <c r="C30" s="289">
        <f>'7&amp;8 Sleep'!$M97+'7&amp;8 Sleep'!$Z97</f>
        <v>0.13141309140127733</v>
      </c>
      <c r="D30" s="289">
        <f>'7&amp;8 Sleep'!$M149+'7&amp;8 Sleep'!$Z149</f>
        <v>9.4173672676412093E-2</v>
      </c>
      <c r="E30" s="547">
        <f>'7&amp;8 Sleep'!$M201+'7&amp;8 Sleep'!$Z201</f>
        <v>0</v>
      </c>
      <c r="F30" s="289">
        <f>'7&amp;8 Sleep'!$M254+'7&amp;8 Sleep'!$Z254</f>
        <v>0</v>
      </c>
      <c r="G30" s="505">
        <f>'7&amp;8 Sleep'!$M307+'7&amp;8 Sleep'!$Z307</f>
        <v>0</v>
      </c>
      <c r="H30" s="700">
        <f t="shared" si="13"/>
        <v>0.87173969939647156</v>
      </c>
      <c r="I30" s="505">
        <f>'7&amp;8 Day'!$M97+'7&amp;8 Day'!$Z97</f>
        <v>7.2476888597137523E-2</v>
      </c>
      <c r="J30" s="505">
        <f>'7&amp;8 Day'!$M149+'7&amp;8 Day'!$Z149</f>
        <v>5.5783412006390892E-2</v>
      </c>
      <c r="K30" s="505">
        <f>'7&amp;8 Day'!$M201+'7&amp;8 Day'!$Z201</f>
        <v>0</v>
      </c>
      <c r="L30" s="505">
        <f>'7&amp;8 Day'!$M254+'7&amp;8 Day'!$Z254</f>
        <v>0</v>
      </c>
      <c r="M30" s="552">
        <f>'7&amp;8 Day'!$M307+'7&amp;8 Day'!$Z307</f>
        <v>0</v>
      </c>
      <c r="N30" s="288">
        <f t="shared" si="14"/>
        <v>0.84719179849310211</v>
      </c>
      <c r="O30" s="289">
        <f>'7&amp;8 SU'!$M97+'7&amp;8 SU'!$Z97</f>
        <v>4.2581959326908239E-2</v>
      </c>
      <c r="P30" s="289">
        <f>'7&amp;8 SU'!$M149+'7&amp;8 SU'!$Z149</f>
        <v>0.11021291949716548</v>
      </c>
      <c r="Q30" s="547">
        <f>'7&amp;8 SU'!$M201+'7&amp;8 SU'!$Z201</f>
        <v>0</v>
      </c>
      <c r="R30" s="289">
        <f>'7&amp;8 SU'!$M254+'7&amp;8 SU'!$Z254</f>
        <v>0</v>
      </c>
      <c r="S30" s="505">
        <f>'7&amp;8 SU'!$M307+'7&amp;8 SU'!$Z307</f>
        <v>1.3322682824136157E-5</v>
      </c>
      <c r="T30" s="288">
        <f>B30*'Market Data'!$E$52+H30*'Market Data'!$O$52+N30*+N30*'Market Data'!$Y$52</f>
        <v>0.79287285372341476</v>
      </c>
      <c r="U30" s="290">
        <f>SUM(C30:G30)*'Market Data'!$E$52+SUM(I30:M30)*'Market Data'!$O$52+SUM(O30:S30)*+N30*'Market Data'!$Y$52</f>
        <v>0.19342355014496732</v>
      </c>
      <c r="W30" s="275">
        <v>2028</v>
      </c>
      <c r="X30" s="307">
        <f>IF('Market Penetration'!B30=0,0,1000*B30*'Market Data'!$E$51/('Market Penetration'!B30*'Market Data'!$C$51))</f>
        <v>111517.15061369324</v>
      </c>
      <c r="Y30" s="308">
        <f>IF('Market Penetration'!C30=0,0,1000*C30*'Market Data'!$E$51/('Market Penetration'!C30*'Market Data'!$C$51))</f>
        <v>122018.32935331603</v>
      </c>
      <c r="Z30" s="308">
        <f>IF('Market Penetration'!D30=0,0,1000*D30*'Market Data'!$E$51/('Market Penetration'!D30*'Market Data'!$C$51))</f>
        <v>129305.23378579512</v>
      </c>
      <c r="AA30" s="542">
        <f>IF('Market Penetration'!E30=0,0,1000*E30*'Market Data'!$E$51/('Market Penetration'!E30*'Market Data'!$C$51))</f>
        <v>0</v>
      </c>
      <c r="AB30" s="308">
        <f>IF('Market Penetration'!F30=0,0,1000*F30*'Market Data'!$E$51/('Market Penetration'!F30*'Market Data'!$C$51))</f>
        <v>0</v>
      </c>
      <c r="AC30" s="537">
        <f>IF('Market Penetration'!G30=0,0,1000*G30*'Market Data'!$E$51/('Market Penetration'!G30*'Market Data'!$C$51))</f>
        <v>0</v>
      </c>
      <c r="AD30" s="307">
        <f>IF('Market Penetration'!H30=0,0,1000*H30*'Market Data'!$O$51/('Market Penetration'!H30*'Market Data'!$M$51))</f>
        <v>73308.475534569065</v>
      </c>
      <c r="AE30" s="308">
        <f>IF('Market Penetration'!I30=0,0,1000*I30*'Market Data'!$O$51/('Market Penetration'!I30*'Market Data'!$M$51))</f>
        <v>113769.92187517772</v>
      </c>
      <c r="AF30" s="308">
        <f>IF('Market Penetration'!J30=0,0,1000*J30*'Market Data'!$O$51/('Market Penetration'!J30*'Market Data'!$M$51))</f>
        <v>120968.82086941281</v>
      </c>
      <c r="AG30" s="308">
        <f>IF('Market Penetration'!K30=0,0,1000*K30*'Market Data'!$O$51/('Market Penetration'!K30*'Market Data'!$M$51))</f>
        <v>0</v>
      </c>
      <c r="AH30" s="308">
        <f>IF('Market Penetration'!L30=0,0,1000*L30*'Market Data'!$O$51/('Market Penetration'!L30*'Market Data'!$M$51))</f>
        <v>0</v>
      </c>
      <c r="AI30" s="309">
        <f>IF('Market Penetration'!M30=0,0,1000*M30*'Market Data'!$O$51/('Market Penetration'!M30*'Market Data'!$M$51))</f>
        <v>0</v>
      </c>
      <c r="AJ30" s="307">
        <f>IF('Market Penetration'!N30=0,0,1000*N30*'Market Data'!$Y$51/('Market Penetration'!N30*'Market Data'!$W$51))</f>
        <v>25478.161407792752</v>
      </c>
      <c r="AK30" s="308">
        <f>IF('Market Penetration'!O30=0,0,1000*O30*'Market Data'!$Y$51/('Market Penetration'!O30*'Market Data'!$W$51))</f>
        <v>61521.65847009408</v>
      </c>
      <c r="AL30" s="308">
        <f>IF('Market Penetration'!P30=0,0,1000*P30*'Market Data'!$Y$51/('Market Penetration'!P30*'Market Data'!$W$51))</f>
        <v>40245.673386745329</v>
      </c>
      <c r="AM30" s="542">
        <f>IF('Market Penetration'!Q30=0,0,1000*Q30*'Market Data'!$Y$51/('Market Penetration'!Q30*'Market Data'!$W$51))</f>
        <v>0</v>
      </c>
      <c r="AN30" s="308">
        <f>IF('Market Penetration'!R30=0,0,1000*R30*'Market Data'!$Y$51/('Market Penetration'!R30*'Market Data'!$W$51))</f>
        <v>0</v>
      </c>
      <c r="AO30" s="537">
        <f>IF('Market Penetration'!S30=0,0,1000*S30*'Market Data'!$Y$51/('Market Penetration'!S30*'Market Data'!$W$51))</f>
        <v>173564.64117716855</v>
      </c>
      <c r="AP30" s="307">
        <f>IF('Market Penetration'!T30=0,0,1000*T30*('Market Data'!$E$51+'Market Data'!$O$51+'Market Data'!$Y$51)/('Market Penetration'!T30*('Market Data'!$C$51+'Market Data'!$M$51+'Market Data'!$W$51)))</f>
        <v>75510.292470956963</v>
      </c>
      <c r="AQ30" s="309">
        <f>IF('Market Penetration'!U30=0,0,1000*U30*('Market Data'!$E$51+'Market Data'!$O$51+'Market Data'!$Y$51)/('Market Penetration'!U30*('Market Data'!$C$51+'Market Data'!$M$51+'Market Data'!$W$51)))</f>
        <v>108663.68071262047</v>
      </c>
    </row>
    <row r="31" spans="1:43" ht="15" x14ac:dyDescent="0.25">
      <c r="A31" s="275">
        <v>2029</v>
      </c>
      <c r="B31" s="288">
        <f t="shared" si="12"/>
        <v>0.55879830497453908</v>
      </c>
      <c r="C31" s="289">
        <f>'7&amp;8 Sleep'!$M98+'7&amp;8 Sleep'!$Z98</f>
        <v>0.25575280864603456</v>
      </c>
      <c r="D31" s="289">
        <f>'7&amp;8 Sleep'!$M150+'7&amp;8 Sleep'!$Z150</f>
        <v>0.1854488863794263</v>
      </c>
      <c r="E31" s="547">
        <f>'7&amp;8 Sleep'!$M202+'7&amp;8 Sleep'!$Z202</f>
        <v>0</v>
      </c>
      <c r="F31" s="289">
        <f>'7&amp;8 Sleep'!$M255+'7&amp;8 Sleep'!$Z255</f>
        <v>0</v>
      </c>
      <c r="G31" s="505">
        <f>'7&amp;8 Sleep'!$M308+'7&amp;8 Sleep'!$Z308</f>
        <v>0</v>
      </c>
      <c r="H31" s="700">
        <f t="shared" si="13"/>
        <v>0.73545016397565921</v>
      </c>
      <c r="I31" s="505">
        <f>'7&amp;8 Day'!$M98+'7&amp;8 Day'!$Z98</f>
        <v>0.14891590305108215</v>
      </c>
      <c r="J31" s="505">
        <f>'7&amp;8 Day'!$M150+'7&amp;8 Day'!$Z150</f>
        <v>0.11563393297325869</v>
      </c>
      <c r="K31" s="505">
        <f>'7&amp;8 Day'!$M202+'7&amp;8 Day'!$Z202</f>
        <v>0</v>
      </c>
      <c r="L31" s="505">
        <f>'7&amp;8 Day'!$M255+'7&amp;8 Day'!$Z255</f>
        <v>0</v>
      </c>
      <c r="M31" s="552">
        <f>'7&amp;8 Day'!$M308+'7&amp;8 Day'!$Z308</f>
        <v>0</v>
      </c>
      <c r="N31" s="288">
        <f t="shared" si="14"/>
        <v>0.72570514964254329</v>
      </c>
      <c r="O31" s="289">
        <f>'7&amp;8 SU'!$M98+'7&amp;8 SU'!$Z98</f>
        <v>1.4919014337818243E-2</v>
      </c>
      <c r="P31" s="289">
        <f>'7&amp;8 SU'!$M150+'7&amp;8 SU'!$Z150</f>
        <v>0.25933207104148637</v>
      </c>
      <c r="Q31" s="547">
        <f>'7&amp;8 SU'!$M202+'7&amp;8 SU'!$Z202</f>
        <v>0</v>
      </c>
      <c r="R31" s="289">
        <f>'7&amp;8 SU'!$M255+'7&amp;8 SU'!$Z255</f>
        <v>0</v>
      </c>
      <c r="S31" s="505">
        <f>'7&amp;8 SU'!$M308+'7&amp;8 SU'!$Z308</f>
        <v>4.3764978152110195E-5</v>
      </c>
      <c r="T31" s="288">
        <f>B31*'Market Data'!$E$52+H31*'Market Data'!$O$52+N31*+N31*'Market Data'!$Y$52</f>
        <v>0.59864584603924487</v>
      </c>
      <c r="U31" s="290">
        <f>SUM(C31:G31)*'Market Data'!$E$52+SUM(I31:M31)*'Market Data'!$O$52+SUM(O31:S31)*+N31*'Market Data'!$Y$52</f>
        <v>0.3767558286535137</v>
      </c>
      <c r="W31" s="275">
        <v>2029</v>
      </c>
      <c r="X31" s="307">
        <f>IF('Market Penetration'!B31=0,0,1000*B31*'Market Data'!$E$51/('Market Penetration'!B31*'Market Data'!$C$51))</f>
        <v>107986.77135875532</v>
      </c>
      <c r="Y31" s="308">
        <f>IF('Market Penetration'!C31=0,0,1000*C31*'Market Data'!$E$51/('Market Penetration'!C31*'Market Data'!$C$51))</f>
        <v>120372.19430133513</v>
      </c>
      <c r="Z31" s="308">
        <f>IF('Market Penetration'!D31=0,0,1000*D31*'Market Data'!$E$51/('Market Penetration'!D31*'Market Data'!$C$51))</f>
        <v>127872.30500968764</v>
      </c>
      <c r="AA31" s="542">
        <f>IF('Market Penetration'!E31=0,0,1000*E31*'Market Data'!$E$51/('Market Penetration'!E31*'Market Data'!$C$51))</f>
        <v>0</v>
      </c>
      <c r="AB31" s="308">
        <f>IF('Market Penetration'!F31=0,0,1000*F31*'Market Data'!$E$51/('Market Penetration'!F31*'Market Data'!$C$51))</f>
        <v>0</v>
      </c>
      <c r="AC31" s="537">
        <f>IF('Market Penetration'!G31=0,0,1000*G31*'Market Data'!$E$51/('Market Penetration'!G31*'Market Data'!$C$51))</f>
        <v>0</v>
      </c>
      <c r="AD31" s="307">
        <f>IF('Market Penetration'!H31=0,0,1000*H31*'Market Data'!$O$51/('Market Penetration'!H31*'Market Data'!$M$51))</f>
        <v>69001.360610153308</v>
      </c>
      <c r="AE31" s="308">
        <f>IF('Market Penetration'!I31=0,0,1000*I31*'Market Data'!$O$51/('Market Penetration'!I31*'Market Data'!$M$51))</f>
        <v>110451.03538566627</v>
      </c>
      <c r="AF31" s="308">
        <f>IF('Market Penetration'!J31=0,0,1000*J31*'Market Data'!$O$51/('Market Penetration'!J31*'Market Data'!$M$51))</f>
        <v>117653.27623801399</v>
      </c>
      <c r="AG31" s="308">
        <f>IF('Market Penetration'!K31=0,0,1000*K31*'Market Data'!$O$51/('Market Penetration'!K31*'Market Data'!$M$51))</f>
        <v>0</v>
      </c>
      <c r="AH31" s="308">
        <f>IF('Market Penetration'!L31=0,0,1000*L31*'Market Data'!$O$51/('Market Penetration'!L31*'Market Data'!$M$51))</f>
        <v>0</v>
      </c>
      <c r="AI31" s="309">
        <f>IF('Market Penetration'!M31=0,0,1000*M31*'Market Data'!$O$51/('Market Penetration'!M31*'Market Data'!$M$51))</f>
        <v>0</v>
      </c>
      <c r="AJ31" s="307">
        <f>IF('Market Penetration'!N31=0,0,1000*N31*'Market Data'!$Y$51/('Market Penetration'!N31*'Market Data'!$W$51))</f>
        <v>23709.806240313312</v>
      </c>
      <c r="AK31" s="308">
        <f>IF('Market Penetration'!O31=0,0,1000*O31*'Market Data'!$Y$51/('Market Penetration'!O31*'Market Data'!$W$51))</f>
        <v>121817.78834976707</v>
      </c>
      <c r="AL31" s="308">
        <f>IF('Market Penetration'!P31=0,0,1000*P31*'Market Data'!$Y$51/('Market Penetration'!P31*'Market Data'!$W$51))</f>
        <v>43571.459518639131</v>
      </c>
      <c r="AM31" s="542">
        <f>IF('Market Penetration'!Q31=0,0,1000*Q31*'Market Data'!$Y$51/('Market Penetration'!Q31*'Market Data'!$W$51))</f>
        <v>0</v>
      </c>
      <c r="AN31" s="308">
        <f>IF('Market Penetration'!R31=0,0,1000*R31*'Market Data'!$Y$51/('Market Penetration'!R31*'Market Data'!$W$51))</f>
        <v>0</v>
      </c>
      <c r="AO31" s="537">
        <f>IF('Market Penetration'!S31=0,0,1000*S31*'Market Data'!$Y$51/('Market Penetration'!S31*'Market Data'!$W$51))</f>
        <v>171027.46243039012</v>
      </c>
      <c r="AP31" s="307">
        <f>IF('Market Penetration'!T31=0,0,1000*T31*('Market Data'!$E$51+'Market Data'!$O$51+'Market Data'!$Y$51)/('Market Penetration'!T31*('Market Data'!$C$51+'Market Data'!$M$51+'Market Data'!$W$51)))</f>
        <v>68167.513618664481</v>
      </c>
      <c r="AQ31" s="309">
        <f>IF('Market Penetration'!U31=0,0,1000*U31*('Market Data'!$E$51+'Market Data'!$O$51+'Market Data'!$Y$51)/('Market Penetration'!U31*('Market Data'!$C$51+'Market Data'!$M$51+'Market Data'!$W$51)))</f>
        <v>107698.84988373626</v>
      </c>
    </row>
    <row r="32" spans="1:43" ht="15" x14ac:dyDescent="0.25">
      <c r="A32" s="274">
        <v>2030</v>
      </c>
      <c r="B32" s="291">
        <f t="shared" si="12"/>
        <v>0.31926404783493789</v>
      </c>
      <c r="C32" s="292">
        <f>'7&amp;8 Sleep'!$M99+'7&amp;8 Sleep'!$Z99</f>
        <v>0.3851864262273838</v>
      </c>
      <c r="D32" s="292">
        <f>'7&amp;8 Sleep'!$M151+'7&amp;8 Sleep'!$Z151</f>
        <v>0.2955495259376783</v>
      </c>
      <c r="E32" s="548">
        <f>'7&amp;8 Sleep'!$M203+'7&amp;8 Sleep'!$Z203</f>
        <v>0</v>
      </c>
      <c r="F32" s="292">
        <f>'7&amp;8 Sleep'!$M256+'7&amp;8 Sleep'!$Z256</f>
        <v>0</v>
      </c>
      <c r="G32" s="506">
        <f>'7&amp;8 Sleep'!$M309+'7&amp;8 Sleep'!$Z309</f>
        <v>0</v>
      </c>
      <c r="H32" s="701">
        <f t="shared" si="13"/>
        <v>0.56569999278673233</v>
      </c>
      <c r="I32" s="506">
        <f>'7&amp;8 Day'!$M99+'7&amp;8 Day'!$Z99</f>
        <v>0.24177588844736353</v>
      </c>
      <c r="J32" s="506">
        <f>'7&amp;8 Day'!$M151+'7&amp;8 Day'!$Z151</f>
        <v>0.19252411876590414</v>
      </c>
      <c r="K32" s="506">
        <f>'7&amp;8 Day'!$M203+'7&amp;8 Day'!$Z203</f>
        <v>0</v>
      </c>
      <c r="L32" s="506">
        <f>'7&amp;8 Day'!$M256+'7&amp;8 Day'!$Z256</f>
        <v>0</v>
      </c>
      <c r="M32" s="553">
        <f>'7&amp;8 Day'!$M309+'7&amp;8 Day'!$Z309</f>
        <v>0</v>
      </c>
      <c r="N32" s="291">
        <f t="shared" si="14"/>
        <v>0.59899519366241405</v>
      </c>
      <c r="O32" s="292">
        <f>'7&amp;8 SU'!$M99+'7&amp;8 SU'!$Z99</f>
        <v>5.9553501348954272E-3</v>
      </c>
      <c r="P32" s="292">
        <f>'7&amp;8 SU'!$M151+'7&amp;8 SU'!$Z151</f>
        <v>0.39486722433410609</v>
      </c>
      <c r="Q32" s="548">
        <f>'7&amp;8 SU'!$M203+'7&amp;8 SU'!$Z203</f>
        <v>0</v>
      </c>
      <c r="R32" s="292">
        <f>'7&amp;8 SU'!$M256+'7&amp;8 SU'!$Z256</f>
        <v>0</v>
      </c>
      <c r="S32" s="506">
        <f>'7&amp;8 SU'!$M309+'7&amp;8 SU'!$Z309</f>
        <v>1.8223186858436582E-4</v>
      </c>
      <c r="T32" s="291">
        <f>B32*'Market Data'!$E$52+H32*'Market Data'!$O$52+N32*+N32*'Market Data'!$Y$52</f>
        <v>0.3824201109784896</v>
      </c>
      <c r="U32" s="293">
        <f>SUM(C32:G32)*'Market Data'!$E$52+SUM(I32:M32)*'Market Data'!$O$52+SUM(O32:S32)*+N32*'Market Data'!$Y$52</f>
        <v>0.58161841667449177</v>
      </c>
      <c r="W32" s="274">
        <v>2030</v>
      </c>
      <c r="X32" s="310">
        <f>IF('Market Penetration'!B32=0,0,1000*B32*'Market Data'!$E$51/('Market Penetration'!B32*'Market Data'!$C$51))</f>
        <v>101310.99107605233</v>
      </c>
      <c r="Y32" s="311">
        <f>IF('Market Penetration'!C32=0,0,1000*C32*'Market Data'!$E$51/('Market Penetration'!C32*'Market Data'!$C$51))</f>
        <v>118641.39446078349</v>
      </c>
      <c r="Z32" s="311">
        <f>IF('Market Penetration'!D32=0,0,1000*D32*'Market Data'!$E$51/('Market Penetration'!D32*'Market Data'!$C$51))</f>
        <v>125676.41476432465</v>
      </c>
      <c r="AA32" s="543">
        <f>IF('Market Penetration'!E32=0,0,1000*E32*'Market Data'!$E$51/('Market Penetration'!E32*'Market Data'!$C$51))</f>
        <v>0</v>
      </c>
      <c r="AB32" s="311">
        <f>IF('Market Penetration'!F32=0,0,1000*F32*'Market Data'!$E$51/('Market Penetration'!F32*'Market Data'!$C$51))</f>
        <v>0</v>
      </c>
      <c r="AC32" s="538">
        <f>IF('Market Penetration'!G32=0,0,1000*G32*'Market Data'!$E$51/('Market Penetration'!G32*'Market Data'!$C$51))</f>
        <v>0</v>
      </c>
      <c r="AD32" s="310">
        <f>IF('Market Penetration'!H32=0,0,1000*H32*'Market Data'!$O$51/('Market Penetration'!H32*'Market Data'!$M$51))</f>
        <v>62649.360312313074</v>
      </c>
      <c r="AE32" s="311">
        <f>IF('Market Penetration'!I32=0,0,1000*I32*'Market Data'!$O$51/('Market Penetration'!I32*'Market Data'!$M$51))</f>
        <v>106877.72483544709</v>
      </c>
      <c r="AF32" s="311">
        <f>IF('Market Penetration'!J32=0,0,1000*J32*'Market Data'!$O$51/('Market Penetration'!J32*'Market Data'!$M$51))</f>
        <v>113397.36922125098</v>
      </c>
      <c r="AG32" s="311">
        <f>IF('Market Penetration'!K32=0,0,1000*K32*'Market Data'!$O$51/('Market Penetration'!K32*'Market Data'!$M$51))</f>
        <v>0</v>
      </c>
      <c r="AH32" s="311">
        <f>IF('Market Penetration'!L32=0,0,1000*L32*'Market Data'!$O$51/('Market Penetration'!L32*'Market Data'!$M$51))</f>
        <v>0</v>
      </c>
      <c r="AI32" s="312">
        <f>IF('Market Penetration'!M32=0,0,1000*M32*'Market Data'!$O$51/('Market Penetration'!M32*'Market Data'!$M$51))</f>
        <v>0</v>
      </c>
      <c r="AJ32" s="310">
        <f>IF('Market Penetration'!N32=0,0,1000*N32*'Market Data'!$Y$51/('Market Penetration'!N32*'Market Data'!$W$51))</f>
        <v>21543.525181642901</v>
      </c>
      <c r="AK32" s="311">
        <f>IF('Market Penetration'!O32=0,0,1000*O32*'Market Data'!$Y$51/('Market Penetration'!O32*'Market Data'!$W$51))</f>
        <v>150461.16747488015</v>
      </c>
      <c r="AL32" s="311">
        <f>IF('Market Penetration'!P32=0,0,1000*P32*'Market Data'!$Y$51/('Market Penetration'!P32*'Market Data'!$W$51))</f>
        <v>44679.501886240585</v>
      </c>
      <c r="AM32" s="543">
        <f>IF('Market Penetration'!Q32=0,0,1000*Q32*'Market Data'!$Y$51/('Market Penetration'!Q32*'Market Data'!$W$51))</f>
        <v>0</v>
      </c>
      <c r="AN32" s="311">
        <f>IF('Market Penetration'!R32=0,0,1000*R32*'Market Data'!$Y$51/('Market Penetration'!R32*'Market Data'!$W$51))</f>
        <v>0</v>
      </c>
      <c r="AO32" s="538">
        <f>IF('Market Penetration'!S32=0,0,1000*S32*'Market Data'!$Y$51/('Market Penetration'!S32*'Market Data'!$W$51))</f>
        <v>164970.05563742266</v>
      </c>
      <c r="AP32" s="310">
        <f>IF('Market Penetration'!T32=0,0,1000*T32*('Market Data'!$E$51+'Market Data'!$O$51+'Market Data'!$Y$51)/('Market Penetration'!T32*('Market Data'!$C$51+'Market Data'!$M$51+'Market Data'!$W$51)))</f>
        <v>56370.476448256137</v>
      </c>
      <c r="AQ32" s="312">
        <f>IF('Market Penetration'!U32=0,0,1000*U32*('Market Data'!$E$51+'Market Data'!$O$51+'Market Data'!$Y$51)/('Market Penetration'!U32*('Market Data'!$C$51+'Market Data'!$M$51+'Market Data'!$W$51)))</f>
        <v>105822.56416120029</v>
      </c>
    </row>
    <row r="33" spans="1:43" ht="15" x14ac:dyDescent="0.25">
      <c r="A33" s="294">
        <v>2031</v>
      </c>
      <c r="B33" s="295">
        <f t="shared" si="12"/>
        <v>0.16282862530917286</v>
      </c>
      <c r="C33" s="296">
        <f>'7&amp;8 Sleep'!$M100+'7&amp;8 Sleep'!$Z100</f>
        <v>0.46551188598271936</v>
      </c>
      <c r="D33" s="296">
        <f>'7&amp;8 Sleep'!$M152+'7&amp;8 Sleep'!$Z152</f>
        <v>0.37165948870810772</v>
      </c>
      <c r="E33" s="549">
        <f>'7&amp;8 Sleep'!$M204+'7&amp;8 Sleep'!$Z204</f>
        <v>0</v>
      </c>
      <c r="F33" s="296">
        <f>'7&amp;8 Sleep'!$M257+'7&amp;8 Sleep'!$Z257</f>
        <v>0</v>
      </c>
      <c r="G33" s="507">
        <f>'7&amp;8 Sleep'!$M310+'7&amp;8 Sleep'!$Z310</f>
        <v>0</v>
      </c>
      <c r="H33" s="702">
        <f t="shared" si="13"/>
        <v>0.43209885336690079</v>
      </c>
      <c r="I33" s="507">
        <f>'7&amp;8 Day'!$M100+'7&amp;8 Day'!$Z100</f>
        <v>0.3133143221531674</v>
      </c>
      <c r="J33" s="507">
        <f>'7&amp;8 Day'!$M152+'7&amp;8 Day'!$Z152</f>
        <v>0.25458682447993175</v>
      </c>
      <c r="K33" s="507">
        <f>'7&amp;8 Day'!$M204+'7&amp;8 Day'!$Z204</f>
        <v>0</v>
      </c>
      <c r="L33" s="507">
        <f>'7&amp;8 Day'!$M257+'7&amp;8 Day'!$Z257</f>
        <v>0</v>
      </c>
      <c r="M33" s="554">
        <f>'7&amp;8 Day'!$M310+'7&amp;8 Day'!$Z310</f>
        <v>0</v>
      </c>
      <c r="N33" s="295">
        <f t="shared" si="14"/>
        <v>0.52836934301414906</v>
      </c>
      <c r="O33" s="296">
        <f>'7&amp;8 SU'!$M100+'7&amp;8 SU'!$Z100</f>
        <v>7.4999252498893446E-3</v>
      </c>
      <c r="P33" s="296">
        <f>'7&amp;8 SU'!$M152+'7&amp;8 SU'!$Z152</f>
        <v>0.46366346581280304</v>
      </c>
      <c r="Q33" s="549">
        <f>'7&amp;8 SU'!$M204+'7&amp;8 SU'!$Z204</f>
        <v>0</v>
      </c>
      <c r="R33" s="296">
        <f>'7&amp;8 SU'!$M257+'7&amp;8 SU'!$Z257</f>
        <v>2.7023709741197032E-7</v>
      </c>
      <c r="S33" s="507">
        <f>'7&amp;8 SU'!$M310+'7&amp;8 SU'!$Z310</f>
        <v>4.6699568606110576E-4</v>
      </c>
      <c r="T33" s="298">
        <f>B33*'Market Data'!$E$52+H33*'Market Data'!$O$52+N33*+N33*'Market Data'!$Y$52</f>
        <v>0.2383967146879305</v>
      </c>
      <c r="U33" s="299">
        <f>SUM(C33:G33)*'Market Data'!$E$52+SUM(I33:M33)*'Market Data'!$O$52+SUM(O33:S33)*+N33*'Market Data'!$Y$52</f>
        <v>0.71930819916558419</v>
      </c>
      <c r="W33" s="294">
        <v>2031</v>
      </c>
      <c r="X33" s="313">
        <f>IF('Market Penetration'!B33=0,0,1000*B33*'Market Data'!$E$51/('Market Penetration'!B33*'Market Data'!$C$51))</f>
        <v>89692.575115237152</v>
      </c>
      <c r="Y33" s="314">
        <f>IF('Market Penetration'!C33=0,0,1000*C33*'Market Data'!$E$51/('Market Penetration'!C33*'Market Data'!$C$51))</f>
        <v>117777.69917919717</v>
      </c>
      <c r="Z33" s="314">
        <f>IF('Market Penetration'!D33=0,0,1000*D33*'Market Data'!$E$51/('Market Penetration'!D33*'Market Data'!$C$51))</f>
        <v>124643.84169644794</v>
      </c>
      <c r="AA33" s="544">
        <f>IF('Market Penetration'!E33=0,0,1000*E33*'Market Data'!$E$51/('Market Penetration'!E33*'Market Data'!$C$51))</f>
        <v>0</v>
      </c>
      <c r="AB33" s="314">
        <f>IF('Market Penetration'!F33=0,0,1000*F33*'Market Data'!$E$51/('Market Penetration'!F33*'Market Data'!$C$51))</f>
        <v>0</v>
      </c>
      <c r="AC33" s="539">
        <f>IF('Market Penetration'!G33=0,0,1000*G33*'Market Data'!$E$51/('Market Penetration'!G33*'Market Data'!$C$51))</f>
        <v>0</v>
      </c>
      <c r="AD33" s="313">
        <f>IF('Market Penetration'!H33=0,0,1000*H33*'Market Data'!$O$51/('Market Penetration'!H33*'Market Data'!$M$51))</f>
        <v>56343.706126986457</v>
      </c>
      <c r="AE33" s="314">
        <f>IF('Market Penetration'!I33=0,0,1000*I33*'Market Data'!$O$51/('Market Penetration'!I33*'Market Data'!$M$51))</f>
        <v>104002.82051227686</v>
      </c>
      <c r="AF33" s="314">
        <f>IF('Market Penetration'!J33=0,0,1000*J33*'Market Data'!$O$51/('Market Penetration'!J33*'Market Data'!$M$51))</f>
        <v>110304.37343064781</v>
      </c>
      <c r="AG33" s="314">
        <f>IF('Market Penetration'!K33=0,0,1000*K33*'Market Data'!$O$51/('Market Penetration'!K33*'Market Data'!$M$51))</f>
        <v>0</v>
      </c>
      <c r="AH33" s="314">
        <f>IF('Market Penetration'!L33=0,0,1000*L33*'Market Data'!$O$51/('Market Penetration'!L33*'Market Data'!$M$51))</f>
        <v>0</v>
      </c>
      <c r="AI33" s="707">
        <f>IF('Market Penetration'!M33=0,0,1000*M33*'Market Data'!$O$51/('Market Penetration'!M33*'Market Data'!$M$51))</f>
        <v>0</v>
      </c>
      <c r="AJ33" s="313">
        <f>IF('Market Penetration'!N33=0,0,1000*N33*'Market Data'!$Y$51/('Market Penetration'!N33*'Market Data'!$W$51))</f>
        <v>20027.408627373741</v>
      </c>
      <c r="AK33" s="314">
        <f>IF('Market Penetration'!O33=0,0,1000*O33*'Market Data'!$Y$51/('Market Penetration'!O33*'Market Data'!$W$51))</f>
        <v>149716.13502984462</v>
      </c>
      <c r="AL33" s="314">
        <f>IF('Market Penetration'!P33=0,0,1000*P33*'Market Data'!$Y$51/('Market Penetration'!P33*'Market Data'!$W$51))</f>
        <v>45248.319145471214</v>
      </c>
      <c r="AM33" s="544">
        <f>IF('Market Penetration'!Q33=0,0,1000*Q33*'Market Data'!$Y$51/('Market Penetration'!Q33*'Market Data'!$W$51))</f>
        <v>0</v>
      </c>
      <c r="AN33" s="314">
        <f>IF('Market Penetration'!R33=0,0,1000*R33*'Market Data'!$Y$51/('Market Penetration'!R33*'Market Data'!$W$51))</f>
        <v>224999.99999999994</v>
      </c>
      <c r="AO33" s="539">
        <f>IF('Market Penetration'!S33=0,0,1000*S33*'Market Data'!$Y$51/('Market Penetration'!S33*'Market Data'!$W$51))</f>
        <v>160116.0132237724</v>
      </c>
      <c r="AP33" s="315">
        <f>IF('Market Penetration'!T33=0,0,1000*T33*('Market Data'!$E$51+'Market Data'!$O$51+'Market Data'!$Y$51)/('Market Penetration'!T33*('Market Data'!$C$51+'Market Data'!$M$51+'Market Data'!$W$51)))</f>
        <v>43867.570807247736</v>
      </c>
      <c r="AQ33" s="316">
        <f>IF('Market Penetration'!U33=0,0,1000*U33*('Market Data'!$E$51+'Market Data'!$O$51+'Market Data'!$Y$51)/('Market Penetration'!U33*('Market Data'!$C$51+'Market Data'!$M$51+'Market Data'!$W$51)))</f>
        <v>105073.65031063069</v>
      </c>
    </row>
    <row r="34" spans="1:43" ht="15" x14ac:dyDescent="0.25">
      <c r="A34" s="275">
        <v>2032</v>
      </c>
      <c r="B34" s="288">
        <f t="shared" si="12"/>
        <v>8.4797128143959899E-2</v>
      </c>
      <c r="C34" s="289">
        <f>'7&amp;8 Sleep'!$M101+'7&amp;8 Sleep'!$Z101</f>
        <v>0.50769865515775536</v>
      </c>
      <c r="D34" s="289">
        <f>'7&amp;8 Sleep'!$M153+'7&amp;8 Sleep'!$Z153</f>
        <v>0.40750421669828474</v>
      </c>
      <c r="E34" s="547">
        <f>'7&amp;8 Sleep'!$M205+'7&amp;8 Sleep'!$Z205</f>
        <v>0</v>
      </c>
      <c r="F34" s="289">
        <f>'7&amp;8 Sleep'!$M258+'7&amp;8 Sleep'!$Z258</f>
        <v>0</v>
      </c>
      <c r="G34" s="505">
        <f>'7&amp;8 Sleep'!$M311+'7&amp;8 Sleep'!$Z311</f>
        <v>0</v>
      </c>
      <c r="H34" s="700">
        <f t="shared" si="13"/>
        <v>0.35955562073905367</v>
      </c>
      <c r="I34" s="505">
        <f>'7&amp;8 Day'!$M101+'7&amp;8 Day'!$Z101</f>
        <v>0.35234014090199983</v>
      </c>
      <c r="J34" s="505">
        <f>'7&amp;8 Day'!$M153+'7&amp;8 Day'!$Z153</f>
        <v>0.2880964719089244</v>
      </c>
      <c r="K34" s="505">
        <f>'7&amp;8 Day'!$M205+'7&amp;8 Day'!$Z205</f>
        <v>0</v>
      </c>
      <c r="L34" s="505">
        <f>'7&amp;8 Day'!$M258+'7&amp;8 Day'!$Z258</f>
        <v>0</v>
      </c>
      <c r="M34" s="552">
        <f>'7&amp;8 Day'!$M311+'7&amp;8 Day'!$Z311</f>
        <v>7.7664500220775351E-6</v>
      </c>
      <c r="N34" s="288">
        <f t="shared" si="14"/>
        <v>0.46182551875228017</v>
      </c>
      <c r="O34" s="289">
        <f>'7&amp;8 SU'!$M101+'7&amp;8 SU'!$Z101</f>
        <v>6.243773076023991E-2</v>
      </c>
      <c r="P34" s="289">
        <f>'7&amp;8 SU'!$M153+'7&amp;8 SU'!$Z153</f>
        <v>0.47492662003571551</v>
      </c>
      <c r="Q34" s="547">
        <f>'7&amp;8 SU'!$M205+'7&amp;8 SU'!$Z205</f>
        <v>0</v>
      </c>
      <c r="R34" s="289">
        <f>'7&amp;8 SU'!$M258+'7&amp;8 SU'!$Z258</f>
        <v>5.1799769317664647E-6</v>
      </c>
      <c r="S34" s="505">
        <f>'7&amp;8 SU'!$M311+'7&amp;8 SU'!$Z311</f>
        <v>8.0495047483268383E-4</v>
      </c>
      <c r="T34" s="288">
        <f>B34*'Market Data'!$E$52+H34*'Market Data'!$O$52+N34*+N34*'Market Data'!$Y$52</f>
        <v>0.1627814955064501</v>
      </c>
      <c r="U34" s="290">
        <f>SUM(C34:G34)*'Market Data'!$E$52+SUM(I34:M34)*'Market Data'!$O$52+SUM(O34:S34)*+N34*'Market Data'!$Y$52</f>
        <v>0.78895587417243562</v>
      </c>
      <c r="W34" s="275">
        <v>2032</v>
      </c>
      <c r="X34" s="307">
        <f>IF('Market Penetration'!B34=0,0,1000*B34*'Market Data'!$E$51/('Market Penetration'!B34*'Market Data'!$C$51))</f>
        <v>74218.969624193182</v>
      </c>
      <c r="Y34" s="308">
        <f>IF('Market Penetration'!C34=0,0,1000*C34*'Market Data'!$E$51/('Market Penetration'!C34*'Market Data'!$C$51))</f>
        <v>117317.64051076786</v>
      </c>
      <c r="Z34" s="308">
        <f>IF('Market Penetration'!D34=0,0,1000*D34*'Market Data'!$E$51/('Market Penetration'!D34*'Market Data'!$C$51))</f>
        <v>124255.77468429934</v>
      </c>
      <c r="AA34" s="542">
        <f>IF('Market Penetration'!E34=0,0,1000*E34*'Market Data'!$E$51/('Market Penetration'!E34*'Market Data'!$C$51))</f>
        <v>0</v>
      </c>
      <c r="AB34" s="308">
        <f>IF('Market Penetration'!F34=0,0,1000*F34*'Market Data'!$E$51/('Market Penetration'!F34*'Market Data'!$C$51))</f>
        <v>0</v>
      </c>
      <c r="AC34" s="537">
        <f>IF('Market Penetration'!G34=0,0,1000*G34*'Market Data'!$E$51/('Market Penetration'!G34*'Market Data'!$C$51))</f>
        <v>0</v>
      </c>
      <c r="AD34" s="307">
        <f>IF('Market Penetration'!H34=0,0,1000*H34*'Market Data'!$O$51/('Market Penetration'!H34*'Market Data'!$M$51))</f>
        <v>52081.880752220211</v>
      </c>
      <c r="AE34" s="308">
        <f>IF('Market Penetration'!I34=0,0,1000*I34*'Market Data'!$O$51/('Market Penetration'!I34*'Market Data'!$M$51))</f>
        <v>102605.74610706211</v>
      </c>
      <c r="AF34" s="308">
        <f>IF('Market Penetration'!J34=0,0,1000*J34*'Market Data'!$O$51/('Market Penetration'!J34*'Market Data'!$M$51))</f>
        <v>108635.32256763808</v>
      </c>
      <c r="AG34" s="308">
        <f>IF('Market Penetration'!K34=0,0,1000*K34*'Market Data'!$O$51/('Market Penetration'!K34*'Market Data'!$M$51))</f>
        <v>0</v>
      </c>
      <c r="AH34" s="308">
        <f>IF('Market Penetration'!L34=0,0,1000*L34*'Market Data'!$O$51/('Market Penetration'!L34*'Market Data'!$M$51))</f>
        <v>0</v>
      </c>
      <c r="AI34" s="309">
        <f>IF('Market Penetration'!M34=0,0,1000*M34*'Market Data'!$O$51/('Market Penetration'!M34*'Market Data'!$M$51))</f>
        <v>222087.4243433089</v>
      </c>
      <c r="AJ34" s="307">
        <f>IF('Market Penetration'!N34=0,0,1000*N34*'Market Data'!$Y$51/('Market Penetration'!N34*'Market Data'!$W$51))</f>
        <v>18769.800112807887</v>
      </c>
      <c r="AK34" s="308">
        <f>IF('Market Penetration'!O34=0,0,1000*O34*'Market Data'!$Y$51/('Market Penetration'!O34*'Market Data'!$W$51))</f>
        <v>92635.340845441009</v>
      </c>
      <c r="AL34" s="308">
        <f>IF('Market Penetration'!P34=0,0,1000*P34*'Market Data'!$Y$51/('Market Penetration'!P34*'Market Data'!$W$51))</f>
        <v>41665.722262298317</v>
      </c>
      <c r="AM34" s="542">
        <f>IF('Market Penetration'!Q34=0,0,1000*Q34*'Market Data'!$Y$51/('Market Penetration'!Q34*'Market Data'!$W$51))</f>
        <v>0</v>
      </c>
      <c r="AN34" s="308">
        <f>IF('Market Penetration'!R34=0,0,1000*R34*'Market Data'!$Y$51/('Market Penetration'!R34*'Market Data'!$W$51))</f>
        <v>212704.48992703919</v>
      </c>
      <c r="AO34" s="537">
        <f>IF('Market Penetration'!S34=0,0,1000*S34*'Market Data'!$Y$51/('Market Penetration'!S34*'Market Data'!$W$51))</f>
        <v>155947.73740321537</v>
      </c>
      <c r="AP34" s="307">
        <f>IF('Market Penetration'!T34=0,0,1000*T34*('Market Data'!$E$51+'Market Data'!$O$51+'Market Data'!$Y$51)/('Market Penetration'!T34*('Market Data'!$C$51+'Market Data'!$M$51+'Market Data'!$W$51)))</f>
        <v>35081.069713362966</v>
      </c>
      <c r="AQ34" s="309">
        <f>IF('Market Penetration'!U34=0,0,1000*U34*('Market Data'!$E$51+'Market Data'!$O$51+'Market Data'!$Y$51)/('Market Penetration'!U34*('Market Data'!$C$51+'Market Data'!$M$51+'Market Data'!$W$51)))</f>
        <v>103265.61046539768</v>
      </c>
    </row>
    <row r="35" spans="1:43" ht="15" x14ac:dyDescent="0.25">
      <c r="A35" s="275">
        <v>2033</v>
      </c>
      <c r="B35" s="288">
        <f t="shared" si="12"/>
        <v>5.2233416982339076E-2</v>
      </c>
      <c r="C35" s="289">
        <f>'7&amp;8 Sleep'!$M102+'7&amp;8 Sleep'!$Z102</f>
        <v>0.51879416152456992</v>
      </c>
      <c r="D35" s="289">
        <f>'7&amp;8 Sleep'!$M154+'7&amp;8 Sleep'!$Z154</f>
        <v>0.42897242149309101</v>
      </c>
      <c r="E35" s="547">
        <f>'7&amp;8 Sleep'!$M206+'7&amp;8 Sleep'!$Z206</f>
        <v>0</v>
      </c>
      <c r="F35" s="289">
        <f>'7&amp;8 Sleep'!$M259+'7&amp;8 Sleep'!$Z259</f>
        <v>0</v>
      </c>
      <c r="G35" s="505">
        <f>'7&amp;8 Sleep'!$M312+'7&amp;8 Sleep'!$Z312</f>
        <v>0</v>
      </c>
      <c r="H35" s="700">
        <f t="shared" si="13"/>
        <v>0.32085292540886301</v>
      </c>
      <c r="I35" s="505">
        <f>'7&amp;8 Day'!$M102+'7&amp;8 Day'!$Z102</f>
        <v>0.3719083280197133</v>
      </c>
      <c r="J35" s="505">
        <f>'7&amp;8 Day'!$M154+'7&amp;8 Day'!$Z154</f>
        <v>0.30718867205963984</v>
      </c>
      <c r="K35" s="505">
        <f>'7&amp;8 Day'!$M206+'7&amp;8 Day'!$Z206</f>
        <v>0</v>
      </c>
      <c r="L35" s="505">
        <f>'7&amp;8 Day'!$M259+'7&amp;8 Day'!$Z259</f>
        <v>0</v>
      </c>
      <c r="M35" s="552">
        <f>'7&amp;8 Day'!$M312+'7&amp;8 Day'!$Z312</f>
        <v>5.0074511783823235E-5</v>
      </c>
      <c r="N35" s="288">
        <f t="shared" si="14"/>
        <v>0.4278747103462307</v>
      </c>
      <c r="O35" s="289">
        <f>'7&amp;8 SU'!$M102+'7&amp;8 SU'!$Z102</f>
        <v>0.10197317070579609</v>
      </c>
      <c r="P35" s="289">
        <f>'7&amp;8 SU'!$M154+'7&amp;8 SU'!$Z154</f>
        <v>0.46864428142790288</v>
      </c>
      <c r="Q35" s="547">
        <f>'7&amp;8 SU'!$M206+'7&amp;8 SU'!$Z206</f>
        <v>0</v>
      </c>
      <c r="R35" s="289">
        <f>'7&amp;8 SU'!$M259+'7&amp;8 SU'!$Z259</f>
        <v>6.9464038311912993E-5</v>
      </c>
      <c r="S35" s="505">
        <f>'7&amp;8 SU'!$M312+'7&amp;8 SU'!$Z312</f>
        <v>1.4383734817584135E-3</v>
      </c>
      <c r="T35" s="288">
        <f>B35*'Market Data'!$E$52+H35*'Market Data'!$O$52+N35*+N35*'Market Data'!$Y$52</f>
        <v>0.12894424308235075</v>
      </c>
      <c r="U35" s="290">
        <f>SUM(C35:G35)*'Market Data'!$E$52+SUM(I35:M35)*'Market Data'!$O$52+SUM(O35:S35)*+N35*'Market Data'!$Y$52</f>
        <v>0.81974847217255475</v>
      </c>
      <c r="W35" s="275">
        <v>2033</v>
      </c>
      <c r="X35" s="307">
        <f>IF('Market Penetration'!B35=0,0,1000*B35*'Market Data'!$E$51/('Market Penetration'!B35*'Market Data'!$C$51))</f>
        <v>61494.226741405742</v>
      </c>
      <c r="Y35" s="308">
        <f>IF('Market Penetration'!C35=0,0,1000*C35*'Market Data'!$E$51/('Market Penetration'!C35*'Market Data'!$C$51))</f>
        <v>117115.24212039722</v>
      </c>
      <c r="Z35" s="308">
        <f>IF('Market Penetration'!D35=0,0,1000*D35*'Market Data'!$E$51/('Market Penetration'!D35*'Market Data'!$C$51))</f>
        <v>123606.66949658045</v>
      </c>
      <c r="AA35" s="542">
        <f>IF('Market Penetration'!E35=0,0,1000*E35*'Market Data'!$E$51/('Market Penetration'!E35*'Market Data'!$C$51))</f>
        <v>0</v>
      </c>
      <c r="AB35" s="308">
        <f>IF('Market Penetration'!F35=0,0,1000*F35*'Market Data'!$E$51/('Market Penetration'!F35*'Market Data'!$C$51))</f>
        <v>0</v>
      </c>
      <c r="AC35" s="537">
        <f>IF('Market Penetration'!G35=0,0,1000*G35*'Market Data'!$E$51/('Market Penetration'!G35*'Market Data'!$C$51))</f>
        <v>0</v>
      </c>
      <c r="AD35" s="307">
        <f>IF('Market Penetration'!H35=0,0,1000*H35*'Market Data'!$O$51/('Market Penetration'!H35*'Market Data'!$M$51))</f>
        <v>49724.755046618629</v>
      </c>
      <c r="AE35" s="308">
        <f>IF('Market Penetration'!I35=0,0,1000*I35*'Market Data'!$O$51/('Market Penetration'!I35*'Market Data'!$M$51))</f>
        <v>101211.09398676563</v>
      </c>
      <c r="AF35" s="308">
        <f>IF('Market Penetration'!J35=0,0,1000*J35*'Market Data'!$O$51/('Market Penetration'!J35*'Market Data'!$M$51))</f>
        <v>107326.38613698457</v>
      </c>
      <c r="AG35" s="308">
        <f>IF('Market Penetration'!K35=0,0,1000*K35*'Market Data'!$O$51/('Market Penetration'!K35*'Market Data'!$M$51))</f>
        <v>0</v>
      </c>
      <c r="AH35" s="308">
        <f>IF('Market Penetration'!L35=0,0,1000*L35*'Market Data'!$O$51/('Market Penetration'!L35*'Market Data'!$M$51))</f>
        <v>0</v>
      </c>
      <c r="AI35" s="309">
        <f>IF('Market Penetration'!M35=0,0,1000*M35*'Market Data'!$O$51/('Market Penetration'!M35*'Market Data'!$M$51))</f>
        <v>222028.71937132411</v>
      </c>
      <c r="AJ35" s="307">
        <f>IF('Market Penetration'!N35=0,0,1000*N35*'Market Data'!$Y$51/('Market Penetration'!N35*'Market Data'!$W$51))</f>
        <v>18079.088940062324</v>
      </c>
      <c r="AK35" s="308">
        <f>IF('Market Penetration'!O35=0,0,1000*O35*'Market Data'!$Y$51/('Market Penetration'!O35*'Market Data'!$W$51))</f>
        <v>77217.731709764717</v>
      </c>
      <c r="AL35" s="308">
        <f>IF('Market Penetration'!P35=0,0,1000*P35*'Market Data'!$Y$51/('Market Penetration'!P35*'Market Data'!$W$51))</f>
        <v>40106.039353424487</v>
      </c>
      <c r="AM35" s="542">
        <f>IF('Market Penetration'!Q35=0,0,1000*Q35*'Market Data'!$Y$51/('Market Penetration'!Q35*'Market Data'!$W$51))</f>
        <v>0</v>
      </c>
      <c r="AN35" s="308">
        <f>IF('Market Penetration'!R35=0,0,1000*R35*'Market Data'!$Y$51/('Market Penetration'!R35*'Market Data'!$W$51))</f>
        <v>174701.67169703241</v>
      </c>
      <c r="AO35" s="537">
        <f>IF('Market Penetration'!S35=0,0,1000*S35*'Market Data'!$Y$51/('Market Penetration'!S35*'Market Data'!$W$51))</f>
        <v>152020.1638777926</v>
      </c>
      <c r="AP35" s="307">
        <f>IF('Market Penetration'!T35=0,0,1000*T35*('Market Data'!$E$51+'Market Data'!$O$51+'Market Data'!$Y$51)/('Market Penetration'!T35*('Market Data'!$C$51+'Market Data'!$M$51+'Market Data'!$W$51)))</f>
        <v>30332.689850319435</v>
      </c>
      <c r="AQ35" s="309">
        <f>IF('Market Penetration'!U35=0,0,1000*U35*('Market Data'!$E$51+'Market Data'!$O$51+'Market Data'!$Y$51)/('Market Penetration'!U35*('Market Data'!$C$51+'Market Data'!$M$51+'Market Data'!$W$51)))</f>
        <v>102095.69645800302</v>
      </c>
    </row>
    <row r="36" spans="1:43" ht="15" x14ac:dyDescent="0.25">
      <c r="A36" s="275">
        <v>2034</v>
      </c>
      <c r="B36" s="288">
        <f t="shared" si="12"/>
        <v>3.9781575081286324E-2</v>
      </c>
      <c r="C36" s="289">
        <f>'7&amp;8 Sleep'!$M103+'7&amp;8 Sleep'!$Z103</f>
        <v>0.524195538682935</v>
      </c>
      <c r="D36" s="289">
        <f>'7&amp;8 Sleep'!$M155+'7&amp;8 Sleep'!$Z155</f>
        <v>0.43602288623577867</v>
      </c>
      <c r="E36" s="547">
        <f>'7&amp;8 Sleep'!$M207+'7&amp;8 Sleep'!$Z207</f>
        <v>0</v>
      </c>
      <c r="F36" s="289">
        <f>'7&amp;8 Sleep'!$M260+'7&amp;8 Sleep'!$Z260</f>
        <v>0</v>
      </c>
      <c r="G36" s="505">
        <f>'7&amp;8 Sleep'!$M313+'7&amp;8 Sleep'!$Z313</f>
        <v>0</v>
      </c>
      <c r="H36" s="700">
        <f t="shared" si="13"/>
        <v>0.30779392623642399</v>
      </c>
      <c r="I36" s="505">
        <f>'7&amp;8 Day'!$M103+'7&amp;8 Day'!$Z103</f>
        <v>0.37740380666229467</v>
      </c>
      <c r="J36" s="505">
        <f>'7&amp;8 Day'!$M155+'7&amp;8 Day'!$Z155</f>
        <v>0.3146964878523395</v>
      </c>
      <c r="K36" s="505">
        <f>'7&amp;8 Day'!$M207+'7&amp;8 Day'!$Z207</f>
        <v>0</v>
      </c>
      <c r="L36" s="505">
        <f>'7&amp;8 Day'!$M260+'7&amp;8 Day'!$Z260</f>
        <v>0</v>
      </c>
      <c r="M36" s="552">
        <f>'7&amp;8 Day'!$M313+'7&amp;8 Day'!$Z313</f>
        <v>1.0577924894179623E-4</v>
      </c>
      <c r="N36" s="288">
        <f t="shared" si="14"/>
        <v>0.40282005029247225</v>
      </c>
      <c r="O36" s="289">
        <f>'7&amp;8 SU'!$M103+'7&amp;8 SU'!$Z103</f>
        <v>0.1214693224605613</v>
      </c>
      <c r="P36" s="289">
        <f>'7&amp;8 SU'!$M155+'7&amp;8 SU'!$Z155</f>
        <v>0.47330209828135617</v>
      </c>
      <c r="Q36" s="547">
        <f>'7&amp;8 SU'!$M207+'7&amp;8 SU'!$Z207</f>
        <v>0</v>
      </c>
      <c r="R36" s="289">
        <f>'7&amp;8 SU'!$M260+'7&amp;8 SU'!$Z260</f>
        <v>2.4025766003467314E-4</v>
      </c>
      <c r="S36" s="505">
        <f>'7&amp;8 SU'!$M313+'7&amp;8 SU'!$Z313</f>
        <v>2.1682713055755647E-3</v>
      </c>
      <c r="T36" s="288">
        <f>B36*'Market Data'!$E$52+H36*'Market Data'!$O$52+N36*+N36*'Market Data'!$Y$52</f>
        <v>0.11559573933608935</v>
      </c>
      <c r="U36" s="290">
        <f>SUM(C36:G36)*'Market Data'!$E$52+SUM(I36:M36)*'Market Data'!$O$52+SUM(O36:S36)*+N36*'Market Data'!$Y$52</f>
        <v>0.83085011391006336</v>
      </c>
      <c r="W36" s="275">
        <v>2034</v>
      </c>
      <c r="X36" s="307">
        <f>IF('Market Penetration'!B36=0,0,1000*B36*'Market Data'!$E$51/('Market Penetration'!B36*'Market Data'!$C$51))</f>
        <v>53674.512469085144</v>
      </c>
      <c r="Y36" s="308">
        <f>IF('Market Penetration'!C36=0,0,1000*C36*'Market Data'!$E$51/('Market Penetration'!C36*'Market Data'!$C$51))</f>
        <v>117134.25857162861</v>
      </c>
      <c r="Z36" s="308">
        <f>IF('Market Penetration'!D36=0,0,1000*D36*'Market Data'!$E$51/('Market Penetration'!D36*'Market Data'!$C$51))</f>
        <v>123403.51116895252</v>
      </c>
      <c r="AA36" s="542">
        <f>IF('Market Penetration'!E36=0,0,1000*E36*'Market Data'!$E$51/('Market Penetration'!E36*'Market Data'!$C$51))</f>
        <v>0</v>
      </c>
      <c r="AB36" s="308">
        <f>IF('Market Penetration'!F36=0,0,1000*F36*'Market Data'!$E$51/('Market Penetration'!F36*'Market Data'!$C$51))</f>
        <v>0</v>
      </c>
      <c r="AC36" s="537">
        <f>IF('Market Penetration'!G36=0,0,1000*G36*'Market Data'!$E$51/('Market Penetration'!G36*'Market Data'!$C$51))</f>
        <v>0</v>
      </c>
      <c r="AD36" s="307">
        <f>IF('Market Penetration'!H36=0,0,1000*H36*'Market Data'!$O$51/('Market Penetration'!H36*'Market Data'!$M$51))</f>
        <v>48847.944923961819</v>
      </c>
      <c r="AE36" s="308">
        <f>IF('Market Penetration'!I36=0,0,1000*I36*'Market Data'!$O$51/('Market Penetration'!I36*'Market Data'!$M$51))</f>
        <v>100868.99307756725</v>
      </c>
      <c r="AF36" s="308">
        <f>IF('Market Penetration'!J36=0,0,1000*J36*'Market Data'!$O$51/('Market Penetration'!J36*'Market Data'!$M$51))</f>
        <v>106802.98327701044</v>
      </c>
      <c r="AG36" s="308">
        <f>IF('Market Penetration'!K36=0,0,1000*K36*'Market Data'!$O$51/('Market Penetration'!K36*'Market Data'!$M$51))</f>
        <v>0</v>
      </c>
      <c r="AH36" s="308">
        <f>IF('Market Penetration'!L36=0,0,1000*L36*'Market Data'!$O$51/('Market Penetration'!L36*'Market Data'!$M$51))</f>
        <v>0</v>
      </c>
      <c r="AI36" s="309">
        <f>IF('Market Penetration'!M36=0,0,1000*M36*'Market Data'!$O$51/('Market Penetration'!M36*'Market Data'!$M$51))</f>
        <v>221955.85136954987</v>
      </c>
      <c r="AJ36" s="307">
        <f>IF('Market Penetration'!N36=0,0,1000*N36*'Market Data'!$Y$51/('Market Penetration'!N36*'Market Data'!$W$51))</f>
        <v>17573.371282372878</v>
      </c>
      <c r="AK36" s="308">
        <f>IF('Market Penetration'!O36=0,0,1000*O36*'Market Data'!$Y$51/('Market Penetration'!O36*'Market Data'!$W$51))</f>
        <v>71093.543917712392</v>
      </c>
      <c r="AL36" s="308">
        <f>IF('Market Penetration'!P36=0,0,1000*P36*'Market Data'!$Y$51/('Market Penetration'!P36*'Market Data'!$W$51))</f>
        <v>39325.112332776996</v>
      </c>
      <c r="AM36" s="542">
        <f>IF('Market Penetration'!Q36=0,0,1000*Q36*'Market Data'!$Y$51/('Market Penetration'!Q36*'Market Data'!$W$51))</f>
        <v>0</v>
      </c>
      <c r="AN36" s="308">
        <f>IF('Market Penetration'!R36=0,0,1000*R36*'Market Data'!$Y$51/('Market Penetration'!R36*'Market Data'!$W$51))</f>
        <v>164794.29032503132</v>
      </c>
      <c r="AO36" s="537">
        <f>IF('Market Penetration'!S36=0,0,1000*S36*'Market Data'!$Y$51/('Market Penetration'!S36*'Market Data'!$W$51))</f>
        <v>148867.94170380602</v>
      </c>
      <c r="AP36" s="307">
        <f>IF('Market Penetration'!T36=0,0,1000*T36*('Market Data'!$E$51+'Market Data'!$O$51+'Market Data'!$Y$51)/('Market Penetration'!T36*('Market Data'!$C$51+'Market Data'!$M$51+'Market Data'!$W$51)))</f>
        <v>28365.529688722647</v>
      </c>
      <c r="AQ36" s="309">
        <f>IF('Market Penetration'!U36=0,0,1000*U36*('Market Data'!$E$51+'Market Data'!$O$51+'Market Data'!$Y$51)/('Market Penetration'!U36*('Market Data'!$C$51+'Market Data'!$M$51+'Market Data'!$W$51)))</f>
        <v>101261.47412623637</v>
      </c>
    </row>
    <row r="37" spans="1:43" ht="15" x14ac:dyDescent="0.25">
      <c r="A37" s="274">
        <v>2035</v>
      </c>
      <c r="B37" s="291">
        <f t="shared" si="12"/>
        <v>3.3199883736009461E-2</v>
      </c>
      <c r="C37" s="292">
        <f>'7&amp;8 Sleep'!$M104+'7&amp;8 Sleep'!$Z104</f>
        <v>0.52737292943682135</v>
      </c>
      <c r="D37" s="292">
        <f>'7&amp;8 Sleep'!$M156+'7&amp;8 Sleep'!$Z156</f>
        <v>0.43942718682716919</v>
      </c>
      <c r="E37" s="548">
        <f>'7&amp;8 Sleep'!$M208+'7&amp;8 Sleep'!$Z208</f>
        <v>0</v>
      </c>
      <c r="F37" s="292">
        <f>'7&amp;8 Sleep'!$M261+'7&amp;8 Sleep'!$Z261</f>
        <v>0</v>
      </c>
      <c r="G37" s="506">
        <f>'7&amp;8 Sleep'!$M314+'7&amp;8 Sleep'!$Z314</f>
        <v>0</v>
      </c>
      <c r="H37" s="701">
        <f t="shared" si="13"/>
        <v>0.29129346795152822</v>
      </c>
      <c r="I37" s="506">
        <f>'7&amp;8 Day'!$M104+'7&amp;8 Day'!$Z104</f>
        <v>0.38502828322682608</v>
      </c>
      <c r="J37" s="506">
        <f>'7&amp;8 Day'!$M156+'7&amp;8 Day'!$Z156</f>
        <v>0.32345026431773116</v>
      </c>
      <c r="K37" s="506">
        <f>'7&amp;8 Day'!$M208+'7&amp;8 Day'!$Z208</f>
        <v>0</v>
      </c>
      <c r="L37" s="506">
        <f>'7&amp;8 Day'!$M261+'7&amp;8 Day'!$Z261</f>
        <v>0</v>
      </c>
      <c r="M37" s="553">
        <f>'7&amp;8 Day'!$M314+'7&amp;8 Day'!$Z314</f>
        <v>2.2798450391463469E-4</v>
      </c>
      <c r="N37" s="291">
        <f t="shared" si="14"/>
        <v>0.38497086649509082</v>
      </c>
      <c r="O37" s="292">
        <f>'7&amp;8 SU'!$M104+'7&amp;8 SU'!$Z104</f>
        <v>0.14624763593042156</v>
      </c>
      <c r="P37" s="292">
        <f>'7&amp;8 SU'!$M156+'7&amp;8 SU'!$Z156</f>
        <v>0.46439535351435429</v>
      </c>
      <c r="Q37" s="548">
        <f>'7&amp;8 SU'!$M208+'7&amp;8 SU'!$Z208</f>
        <v>0</v>
      </c>
      <c r="R37" s="292">
        <f>'7&amp;8 SU'!$M261+'7&amp;8 SU'!$Z261</f>
        <v>7.0735564047635425E-4</v>
      </c>
      <c r="S37" s="506">
        <f>'7&amp;8 SU'!$M314+'7&amp;8 SU'!$Z314</f>
        <v>3.6787884196571126E-3</v>
      </c>
      <c r="T37" s="291">
        <f>B37*'Market Data'!$E$52+H37*'Market Data'!$O$52+N37*+N37*'Market Data'!$Y$52</f>
        <v>0.10594400360733057</v>
      </c>
      <c r="U37" s="293">
        <f>SUM(C37:G37)*'Market Data'!$E$52+SUM(I37:M37)*'Market Data'!$O$52+SUM(O37:S37)*+N37*'Market Data'!$Y$52</f>
        <v>0.83890116326448971</v>
      </c>
      <c r="W37" s="274">
        <v>2035</v>
      </c>
      <c r="X37" s="310">
        <f>IF('Market Penetration'!B37=0,0,1000*B37*'Market Data'!$E$51/('Market Penetration'!B37*'Market Data'!$C$51))</f>
        <v>48657.392630125236</v>
      </c>
      <c r="Y37" s="311">
        <f>IF('Market Penetration'!C37=0,0,1000*C37*'Market Data'!$E$51/('Market Penetration'!C37*'Market Data'!$C$51))</f>
        <v>117034.57834628168</v>
      </c>
      <c r="Z37" s="311">
        <f>IF('Market Penetration'!D37=0,0,1000*D37*'Market Data'!$E$51/('Market Penetration'!D37*'Market Data'!$C$51))</f>
        <v>123393.24231947043</v>
      </c>
      <c r="AA37" s="543">
        <f>IF('Market Penetration'!E37=0,0,1000*E37*'Market Data'!$E$51/('Market Penetration'!E37*'Market Data'!$C$51))</f>
        <v>0</v>
      </c>
      <c r="AB37" s="311">
        <f>IF('Market Penetration'!F37=0,0,1000*F37*'Market Data'!$E$51/('Market Penetration'!F37*'Market Data'!$C$51))</f>
        <v>0</v>
      </c>
      <c r="AC37" s="538">
        <f>IF('Market Penetration'!G37=0,0,1000*G37*'Market Data'!$E$51/('Market Penetration'!G37*'Market Data'!$C$51))</f>
        <v>0</v>
      </c>
      <c r="AD37" s="310">
        <f>IF('Market Penetration'!H37=0,0,1000*H37*'Market Data'!$O$51/('Market Penetration'!H37*'Market Data'!$M$51))</f>
        <v>47697.875981124831</v>
      </c>
      <c r="AE37" s="311">
        <f>IF('Market Penetration'!I37=0,0,1000*I37*'Market Data'!$O$51/('Market Penetration'!I37*'Market Data'!$M$51))</f>
        <v>100476.76518610539</v>
      </c>
      <c r="AF37" s="311">
        <f>IF('Market Penetration'!J37=0,0,1000*J37*'Market Data'!$O$51/('Market Penetration'!J37*'Market Data'!$M$51))</f>
        <v>106067.39390162421</v>
      </c>
      <c r="AG37" s="311">
        <f>IF('Market Penetration'!K37=0,0,1000*K37*'Market Data'!$O$51/('Market Penetration'!K37*'Market Data'!$M$51))</f>
        <v>0</v>
      </c>
      <c r="AH37" s="311">
        <f>IF('Market Penetration'!L37=0,0,1000*L37*'Market Data'!$O$51/('Market Penetration'!L37*'Market Data'!$M$51))</f>
        <v>0</v>
      </c>
      <c r="AI37" s="312">
        <f>IF('Market Penetration'!M37=0,0,1000*M37*'Market Data'!$O$51/('Market Penetration'!M37*'Market Data'!$M$51))</f>
        <v>220938.82660577062</v>
      </c>
      <c r="AJ37" s="310">
        <f>IF('Market Penetration'!N37=0,0,1000*N37*'Market Data'!$Y$51/('Market Penetration'!N37*'Market Data'!$W$51))</f>
        <v>17254.563853877149</v>
      </c>
      <c r="AK37" s="311">
        <f>IF('Market Penetration'!O37=0,0,1000*O37*'Market Data'!$Y$51/('Market Penetration'!O37*'Market Data'!$W$51))</f>
        <v>63577.481756976355</v>
      </c>
      <c r="AL37" s="311">
        <f>IF('Market Penetration'!P37=0,0,1000*P37*'Market Data'!$Y$51/('Market Penetration'!P37*'Market Data'!$W$51))</f>
        <v>38568.366645712165</v>
      </c>
      <c r="AM37" s="543">
        <f>IF('Market Penetration'!Q37=0,0,1000*Q37*'Market Data'!$Y$51/('Market Penetration'!Q37*'Market Data'!$W$51))</f>
        <v>0</v>
      </c>
      <c r="AN37" s="311">
        <f>IF('Market Penetration'!R37=0,0,1000*R37*'Market Data'!$Y$51/('Market Penetration'!R37*'Market Data'!$W$51))</f>
        <v>157290.99841073694</v>
      </c>
      <c r="AO37" s="538">
        <f>IF('Market Penetration'!S37=0,0,1000*S37*'Market Data'!$Y$51/('Market Penetration'!S37*'Market Data'!$W$51))</f>
        <v>144128.62153140281</v>
      </c>
      <c r="AP37" s="310">
        <f>IF('Market Penetration'!T37=0,0,1000*T37*('Market Data'!$E$51+'Market Data'!$O$51+'Market Data'!$Y$51)/('Market Penetration'!T37*('Market Data'!$C$51+'Market Data'!$M$51+'Market Data'!$W$51)))</f>
        <v>26929.195292077595</v>
      </c>
      <c r="AQ37" s="312">
        <f>IF('Market Penetration'!U37=0,0,1000*U37*('Market Data'!$E$51+'Market Data'!$O$51+'Market Data'!$Y$51)/('Market Penetration'!U37*('Market Data'!$C$51+'Market Data'!$M$51+'Market Data'!$W$51)))</f>
        <v>100514.78940059071</v>
      </c>
    </row>
    <row r="38" spans="1:43" ht="15" x14ac:dyDescent="0.25">
      <c r="A38" s="294">
        <v>2036</v>
      </c>
      <c r="B38" s="295">
        <f t="shared" si="12"/>
        <v>2.8590125803333866E-2</v>
      </c>
      <c r="C38" s="296">
        <f>'7&amp;8 Sleep'!$M105+'7&amp;8 Sleep'!$Z105</f>
        <v>0.52364709193771863</v>
      </c>
      <c r="D38" s="296">
        <f>'7&amp;8 Sleep'!$M157+'7&amp;8 Sleep'!$Z157</f>
        <v>0.4477627822589475</v>
      </c>
      <c r="E38" s="549">
        <f>'7&amp;8 Sleep'!$M209+'7&amp;8 Sleep'!$Z209</f>
        <v>0</v>
      </c>
      <c r="F38" s="296">
        <f>'7&amp;8 Sleep'!$M262+'7&amp;8 Sleep'!$Z262</f>
        <v>0</v>
      </c>
      <c r="G38" s="507">
        <f>'7&amp;8 Sleep'!$M315+'7&amp;8 Sleep'!$Z315</f>
        <v>0</v>
      </c>
      <c r="H38" s="702">
        <f t="shared" si="13"/>
        <v>0.2853658099200288</v>
      </c>
      <c r="I38" s="507">
        <f>'7&amp;8 Day'!$M105+'7&amp;8 Day'!$Z105</f>
        <v>0.38480386094342556</v>
      </c>
      <c r="J38" s="507">
        <f>'7&amp;8 Day'!$M157+'7&amp;8 Day'!$Z157</f>
        <v>0.32929703983836145</v>
      </c>
      <c r="K38" s="507">
        <f>'7&amp;8 Day'!$M209+'7&amp;8 Day'!$Z209</f>
        <v>0</v>
      </c>
      <c r="L38" s="507">
        <f>'7&amp;8 Day'!$M262+'7&amp;8 Day'!$Z262</f>
        <v>0</v>
      </c>
      <c r="M38" s="554">
        <f>'7&amp;8 Day'!$M315+'7&amp;8 Day'!$Z315</f>
        <v>5.3328929818422877E-4</v>
      </c>
      <c r="N38" s="295">
        <f t="shared" si="14"/>
        <v>0.32638406185545032</v>
      </c>
      <c r="O38" s="296">
        <f>'7&amp;8 SU'!$M105+'7&amp;8 SU'!$Z105</f>
        <v>0.20860086639304937</v>
      </c>
      <c r="P38" s="296">
        <f>'7&amp;8 SU'!$M157+'7&amp;8 SU'!$Z157</f>
        <v>0.45808938982602254</v>
      </c>
      <c r="Q38" s="549">
        <f>'7&amp;8 SU'!$M209+'7&amp;8 SU'!$Z209</f>
        <v>0</v>
      </c>
      <c r="R38" s="296">
        <f>'7&amp;8 SU'!$M262+'7&amp;8 SU'!$Z262</f>
        <v>1.9710174742994554E-3</v>
      </c>
      <c r="S38" s="507">
        <f>'7&amp;8 SU'!$M315+'7&amp;8 SU'!$Z315</f>
        <v>4.9546644511782286E-3</v>
      </c>
      <c r="T38" s="298">
        <f>B38*'Market Data'!$E$52+H38*'Market Data'!$O$52+N38*+N38*'Market Data'!$Y$52</f>
        <v>9.7691413081001641E-2</v>
      </c>
      <c r="U38" s="299">
        <f>SUM(C38:G38)*'Market Data'!$E$52+SUM(I38:M38)*'Market Data'!$O$52+SUM(O38:S38)*+N38*'Market Data'!$Y$52</f>
        <v>0.84189978246266717</v>
      </c>
      <c r="W38" s="294">
        <v>2036</v>
      </c>
      <c r="X38" s="313">
        <f>IF('Market Penetration'!B38=0,0,1000*B38*'Market Data'!$E$51/('Market Penetration'!B38*'Market Data'!$C$51))</f>
        <v>45216.209081967376</v>
      </c>
      <c r="Y38" s="314">
        <f>IF('Market Penetration'!C38=0,0,1000*C38*'Market Data'!$E$51/('Market Penetration'!C38*'Market Data'!$C$51))</f>
        <v>117101.08871653036</v>
      </c>
      <c r="Z38" s="314">
        <f>IF('Market Penetration'!D38=0,0,1000*D38*'Market Data'!$E$51/('Market Penetration'!D38*'Market Data'!$C$51))</f>
        <v>122823.09213785123</v>
      </c>
      <c r="AA38" s="544">
        <f>IF('Market Penetration'!E38=0,0,1000*E38*'Market Data'!$E$51/('Market Penetration'!E38*'Market Data'!$C$51))</f>
        <v>0</v>
      </c>
      <c r="AB38" s="314">
        <f>IF('Market Penetration'!F38=0,0,1000*F38*'Market Data'!$E$51/('Market Penetration'!F38*'Market Data'!$C$51))</f>
        <v>0</v>
      </c>
      <c r="AC38" s="539">
        <f>IF('Market Penetration'!G38=0,0,1000*G38*'Market Data'!$E$51/('Market Penetration'!G38*'Market Data'!$C$51))</f>
        <v>0</v>
      </c>
      <c r="AD38" s="313">
        <f>IF('Market Penetration'!H38=0,0,1000*H38*'Market Data'!$O$51/('Market Penetration'!H38*'Market Data'!$M$51))</f>
        <v>47438.13651044618</v>
      </c>
      <c r="AE38" s="314">
        <f>IF('Market Penetration'!I38=0,0,1000*I38*'Market Data'!$O$51/('Market Penetration'!I38*'Market Data'!$M$51))</f>
        <v>100023.20005375356</v>
      </c>
      <c r="AF38" s="314">
        <f>IF('Market Penetration'!J38=0,0,1000*J38*'Market Data'!$O$51/('Market Penetration'!J38*'Market Data'!$M$51))</f>
        <v>105393.28648758073</v>
      </c>
      <c r="AG38" s="314">
        <f>IF('Market Penetration'!K38=0,0,1000*K38*'Market Data'!$O$51/('Market Penetration'!K38*'Market Data'!$M$51))</f>
        <v>0</v>
      </c>
      <c r="AH38" s="314">
        <f>IF('Market Penetration'!L38=0,0,1000*L38*'Market Data'!$O$51/('Market Penetration'!L38*'Market Data'!$M$51))</f>
        <v>0</v>
      </c>
      <c r="AI38" s="707">
        <f>IF('Market Penetration'!M38=0,0,1000*M38*'Market Data'!$O$51/('Market Penetration'!M38*'Market Data'!$M$51))</f>
        <v>218941.99175454045</v>
      </c>
      <c r="AJ38" s="313">
        <f>IF('Market Penetration'!N38=0,0,1000*N38*'Market Data'!$Y$51/('Market Penetration'!N38*'Market Data'!$W$51))</f>
        <v>16162.616092935004</v>
      </c>
      <c r="AK38" s="314">
        <f>IF('Market Penetration'!O38=0,0,1000*O38*'Market Data'!$Y$51/('Market Penetration'!O38*'Market Data'!$W$51))</f>
        <v>51002.729714539542</v>
      </c>
      <c r="AL38" s="314">
        <f>IF('Market Penetration'!P38=0,0,1000*P38*'Market Data'!$Y$51/('Market Penetration'!P38*'Market Data'!$W$51))</f>
        <v>37091.988460230059</v>
      </c>
      <c r="AM38" s="544">
        <f>IF('Market Penetration'!Q38=0,0,1000*Q38*'Market Data'!$Y$51/('Market Penetration'!Q38*'Market Data'!$W$51))</f>
        <v>0</v>
      </c>
      <c r="AN38" s="314">
        <f>IF('Market Penetration'!R38=0,0,1000*R38*'Market Data'!$Y$51/('Market Penetration'!R38*'Market Data'!$W$51))</f>
        <v>149030.27081432121</v>
      </c>
      <c r="AO38" s="539">
        <f>IF('Market Penetration'!S38=0,0,1000*S38*'Market Data'!$Y$51/('Market Penetration'!S38*'Market Data'!$W$51))</f>
        <v>140211.23912622101</v>
      </c>
      <c r="AP38" s="315">
        <f>IF('Market Penetration'!T38=0,0,1000*T38*('Market Data'!$E$51+'Market Data'!$O$51+'Market Data'!$Y$51)/('Market Penetration'!T38*('Market Data'!$C$51+'Market Data'!$M$51+'Market Data'!$W$51)))</f>
        <v>26483.944519423603</v>
      </c>
      <c r="AQ38" s="316">
        <f>IF('Market Penetration'!U38=0,0,1000*U38*('Market Data'!$E$51+'Market Data'!$O$51+'Market Data'!$Y$51)/('Market Penetration'!U38*('Market Data'!$C$51+'Market Data'!$M$51+'Market Data'!$W$51)))</f>
        <v>97992.031180562364</v>
      </c>
    </row>
    <row r="39" spans="1:43" ht="15" x14ac:dyDescent="0.25">
      <c r="A39" s="275">
        <v>2037</v>
      </c>
      <c r="B39" s="288">
        <f t="shared" si="12"/>
        <v>2.8103089043943541E-2</v>
      </c>
      <c r="C39" s="289">
        <f>'7&amp;8 Sleep'!$M106+'7&amp;8 Sleep'!$Z106</f>
        <v>0.51775105738257854</v>
      </c>
      <c r="D39" s="289">
        <f>'7&amp;8 Sleep'!$M158+'7&amp;8 Sleep'!$Z158</f>
        <v>0.45414585357347786</v>
      </c>
      <c r="E39" s="547">
        <f>'7&amp;8 Sleep'!$M210+'7&amp;8 Sleep'!$Z210</f>
        <v>0</v>
      </c>
      <c r="F39" s="289">
        <f>'7&amp;8 Sleep'!$M263+'7&amp;8 Sleep'!$Z263</f>
        <v>0</v>
      </c>
      <c r="G39" s="505">
        <f>'7&amp;8 Sleep'!$M316+'7&amp;8 Sleep'!$Z316</f>
        <v>0</v>
      </c>
      <c r="H39" s="700">
        <f t="shared" si="13"/>
        <v>0.28121722713838559</v>
      </c>
      <c r="I39" s="505">
        <f>'7&amp;8 Day'!$M106+'7&amp;8 Day'!$Z106</f>
        <v>0.38589821503329869</v>
      </c>
      <c r="J39" s="505">
        <f>'7&amp;8 Day'!$M158+'7&amp;8 Day'!$Z158</f>
        <v>0.33202508526306296</v>
      </c>
      <c r="K39" s="505">
        <f>'7&amp;8 Day'!$M210+'7&amp;8 Day'!$Z210</f>
        <v>0</v>
      </c>
      <c r="L39" s="505">
        <f>'7&amp;8 Day'!$M263+'7&amp;8 Day'!$Z263</f>
        <v>0</v>
      </c>
      <c r="M39" s="552">
        <f>'7&amp;8 Day'!$M316+'7&amp;8 Day'!$Z316</f>
        <v>8.5947256525278524E-4</v>
      </c>
      <c r="N39" s="288">
        <f t="shared" si="14"/>
        <v>0.30541947762918287</v>
      </c>
      <c r="O39" s="289">
        <f>'7&amp;8 SU'!$M106+'7&amp;8 SU'!$Z106</f>
        <v>0.23335851926104112</v>
      </c>
      <c r="P39" s="289">
        <f>'7&amp;8 SU'!$M158+'7&amp;8 SU'!$Z158</f>
        <v>0.45246293351096023</v>
      </c>
      <c r="Q39" s="547">
        <f>'7&amp;8 SU'!$M210+'7&amp;8 SU'!$Z210</f>
        <v>0</v>
      </c>
      <c r="R39" s="289">
        <f>'7&amp;8 SU'!$M263+'7&amp;8 SU'!$Z263</f>
        <v>3.0550932034214889E-3</v>
      </c>
      <c r="S39" s="505">
        <f>'7&amp;8 SU'!$M316+'7&amp;8 SU'!$Z316</f>
        <v>5.7039763953943392E-3</v>
      </c>
      <c r="T39" s="288">
        <f>B39*'Market Data'!$E$52+H39*'Market Data'!$O$52+N39*+N39*'Market Data'!$Y$52</f>
        <v>9.5174517838114106E-2</v>
      </c>
      <c r="U39" s="290">
        <f>SUM(C39:G39)*'Market Data'!$E$52+SUM(I39:M39)*'Market Data'!$O$52+SUM(O39:S39)*+N39*'Market Data'!$Y$52</f>
        <v>0.84253660718269674</v>
      </c>
      <c r="W39" s="275">
        <v>2037</v>
      </c>
      <c r="X39" s="307">
        <f>IF('Market Penetration'!B39=0,0,1000*B39*'Market Data'!$E$51/('Market Penetration'!B39*'Market Data'!$C$51))</f>
        <v>44733.875251847086</v>
      </c>
      <c r="Y39" s="308">
        <f>IF('Market Penetration'!C39=0,0,1000*C39*'Market Data'!$E$51/('Market Penetration'!C39*'Market Data'!$C$51))</f>
        <v>117295.20679697685</v>
      </c>
      <c r="Z39" s="308">
        <f>IF('Market Penetration'!D39=0,0,1000*D39*'Market Data'!$E$51/('Market Penetration'!D39*'Market Data'!$C$51))</f>
        <v>122499.50214427859</v>
      </c>
      <c r="AA39" s="542">
        <f>IF('Market Penetration'!E39=0,0,1000*E39*'Market Data'!$E$51/('Market Penetration'!E39*'Market Data'!$C$51))</f>
        <v>0</v>
      </c>
      <c r="AB39" s="308">
        <f>IF('Market Penetration'!F39=0,0,1000*F39*'Market Data'!$E$51/('Market Penetration'!F39*'Market Data'!$C$51))</f>
        <v>0</v>
      </c>
      <c r="AC39" s="537">
        <f>IF('Market Penetration'!G39=0,0,1000*G39*'Market Data'!$E$51/('Market Penetration'!G39*'Market Data'!$C$51))</f>
        <v>0</v>
      </c>
      <c r="AD39" s="307">
        <f>IF('Market Penetration'!H39=0,0,1000*H39*'Market Data'!$O$51/('Market Penetration'!H39*'Market Data'!$M$51))</f>
        <v>47277.104664119863</v>
      </c>
      <c r="AE39" s="308">
        <f>IF('Market Penetration'!I39=0,0,1000*I39*'Market Data'!$O$51/('Market Penetration'!I39*'Market Data'!$M$51))</f>
        <v>99697.146632702716</v>
      </c>
      <c r="AF39" s="308">
        <f>IF('Market Penetration'!J39=0,0,1000*J39*'Market Data'!$O$51/('Market Penetration'!J39*'Market Data'!$M$51))</f>
        <v>104850.69346188284</v>
      </c>
      <c r="AG39" s="308">
        <f>IF('Market Penetration'!K39=0,0,1000*K39*'Market Data'!$O$51/('Market Penetration'!K39*'Market Data'!$M$51))</f>
        <v>0</v>
      </c>
      <c r="AH39" s="308">
        <f>IF('Market Penetration'!L39=0,0,1000*L39*'Market Data'!$O$51/('Market Penetration'!L39*'Market Data'!$M$51))</f>
        <v>0</v>
      </c>
      <c r="AI39" s="309">
        <f>IF('Market Penetration'!M39=0,0,1000*M39*'Market Data'!$O$51/('Market Penetration'!M39*'Market Data'!$M$51))</f>
        <v>217554.49689331729</v>
      </c>
      <c r="AJ39" s="307">
        <f>IF('Market Penetration'!N39=0,0,1000*N39*'Market Data'!$Y$51/('Market Penetration'!N39*'Market Data'!$W$51))</f>
        <v>15816.132977540005</v>
      </c>
      <c r="AK39" s="308">
        <f>IF('Market Penetration'!O39=0,0,1000*O39*'Market Data'!$Y$51/('Market Penetration'!O39*'Market Data'!$W$51))</f>
        <v>47974.747712029181</v>
      </c>
      <c r="AL39" s="308">
        <f>IF('Market Penetration'!P39=0,0,1000*P39*'Market Data'!$Y$51/('Market Penetration'!P39*'Market Data'!$W$51))</f>
        <v>36357.534072868155</v>
      </c>
      <c r="AM39" s="542">
        <f>IF('Market Penetration'!Q39=0,0,1000*Q39*'Market Data'!$Y$51/('Market Penetration'!Q39*'Market Data'!$W$51))</f>
        <v>0</v>
      </c>
      <c r="AN39" s="308">
        <f>IF('Market Penetration'!R39=0,0,1000*R39*'Market Data'!$Y$51/('Market Penetration'!R39*'Market Data'!$W$51))</f>
        <v>143719.92245686808</v>
      </c>
      <c r="AO39" s="537">
        <f>IF('Market Penetration'!S39=0,0,1000*S39*'Market Data'!$Y$51/('Market Penetration'!S39*'Market Data'!$W$51))</f>
        <v>137409.05200942286</v>
      </c>
      <c r="AP39" s="307">
        <f>IF('Market Penetration'!T39=0,0,1000*T39*('Market Data'!$E$51+'Market Data'!$O$51+'Market Data'!$Y$51)/('Market Penetration'!T39*('Market Data'!$C$51+'Market Data'!$M$51+'Market Data'!$W$51)))</f>
        <v>26507.20595328707</v>
      </c>
      <c r="AQ39" s="309">
        <f>IF('Market Penetration'!U39=0,0,1000*U39*('Market Data'!$E$51+'Market Data'!$O$51+'Market Data'!$Y$51)/('Market Penetration'!U39*('Market Data'!$C$51+'Market Data'!$M$51+'Market Data'!$W$51)))</f>
        <v>96958.065276197056</v>
      </c>
    </row>
    <row r="40" spans="1:43" ht="15" x14ac:dyDescent="0.25">
      <c r="A40" s="275">
        <v>2038</v>
      </c>
      <c r="B40" s="288">
        <f t="shared" si="12"/>
        <v>2.7991780957082879E-2</v>
      </c>
      <c r="C40" s="289">
        <f>'7&amp;8 Sleep'!$M107+'7&amp;8 Sleep'!$Z107</f>
        <v>0.51295855338010377</v>
      </c>
      <c r="D40" s="289">
        <f>'7&amp;8 Sleep'!$M159+'7&amp;8 Sleep'!$Z159</f>
        <v>0.4590496656628133</v>
      </c>
      <c r="E40" s="547">
        <f>'7&amp;8 Sleep'!$M211+'7&amp;8 Sleep'!$Z211</f>
        <v>0</v>
      </c>
      <c r="F40" s="289">
        <f>'7&amp;8 Sleep'!$M264+'7&amp;8 Sleep'!$Z264</f>
        <v>0</v>
      </c>
      <c r="G40" s="505">
        <f>'7&amp;8 Sleep'!$M317+'7&amp;8 Sleep'!$Z317</f>
        <v>0</v>
      </c>
      <c r="H40" s="700">
        <f t="shared" si="13"/>
        <v>0.27272701888582662</v>
      </c>
      <c r="I40" s="505">
        <f>'7&amp;8 Day'!$M107+'7&amp;8 Day'!$Z107</f>
        <v>0.3873402901640251</v>
      </c>
      <c r="J40" s="505">
        <f>'7&amp;8 Day'!$M159+'7&amp;8 Day'!$Z159</f>
        <v>0.33845441724776171</v>
      </c>
      <c r="K40" s="505">
        <f>'7&amp;8 Day'!$M211+'7&amp;8 Day'!$Z211</f>
        <v>0</v>
      </c>
      <c r="L40" s="505">
        <f>'7&amp;8 Day'!$M264+'7&amp;8 Day'!$Z264</f>
        <v>0</v>
      </c>
      <c r="M40" s="552">
        <f>'7&amp;8 Day'!$M317+'7&amp;8 Day'!$Z317</f>
        <v>1.4782737023866499E-3</v>
      </c>
      <c r="N40" s="288">
        <f t="shared" si="14"/>
        <v>0.27700459296417868</v>
      </c>
      <c r="O40" s="289">
        <f>'7&amp;8 SU'!$M107+'7&amp;8 SU'!$Z107</f>
        <v>0.26268262556296768</v>
      </c>
      <c r="P40" s="289">
        <f>'7&amp;8 SU'!$M159+'7&amp;8 SU'!$Z159</f>
        <v>0.44884273736346081</v>
      </c>
      <c r="Q40" s="547">
        <f>'7&amp;8 SU'!$M211+'7&amp;8 SU'!$Z211</f>
        <v>0</v>
      </c>
      <c r="R40" s="289">
        <f>'7&amp;8 SU'!$M264+'7&amp;8 SU'!$Z264</f>
        <v>4.8203239381893487E-3</v>
      </c>
      <c r="S40" s="505">
        <f>'7&amp;8 SU'!$M317+'7&amp;8 SU'!$Z317</f>
        <v>6.6497201712035683E-3</v>
      </c>
      <c r="T40" s="288">
        <f>B40*'Market Data'!$E$52+H40*'Market Data'!$O$52+N40*+N40*'Market Data'!$Y$52</f>
        <v>9.1562265925255251E-2</v>
      </c>
      <c r="U40" s="290">
        <f>SUM(C40:G40)*'Market Data'!$E$52+SUM(I40:M40)*'Market Data'!$O$52+SUM(O40:S40)*+N40*'Market Data'!$Y$52</f>
        <v>0.84360065749553781</v>
      </c>
      <c r="W40" s="275">
        <v>2038</v>
      </c>
      <c r="X40" s="307">
        <f>IF('Market Penetration'!B40=0,0,1000*B40*'Market Data'!$E$51/('Market Penetration'!B40*'Market Data'!$C$51))</f>
        <v>44668.983186255391</v>
      </c>
      <c r="Y40" s="308">
        <f>IF('Market Penetration'!C40=0,0,1000*C40*'Market Data'!$E$51/('Market Penetration'!C40*'Market Data'!$C$51))</f>
        <v>117554.5870716037</v>
      </c>
      <c r="Z40" s="308">
        <f>IF('Market Penetration'!D40=0,0,1000*D40*'Market Data'!$E$51/('Market Penetration'!D40*'Market Data'!$C$51))</f>
        <v>122106.66809081059</v>
      </c>
      <c r="AA40" s="542">
        <f>IF('Market Penetration'!E40=0,0,1000*E40*'Market Data'!$E$51/('Market Penetration'!E40*'Market Data'!$C$51))</f>
        <v>0</v>
      </c>
      <c r="AB40" s="308">
        <f>IF('Market Penetration'!F40=0,0,1000*F40*'Market Data'!$E$51/('Market Penetration'!F40*'Market Data'!$C$51))</f>
        <v>0</v>
      </c>
      <c r="AC40" s="537">
        <f>IF('Market Penetration'!G40=0,0,1000*G40*'Market Data'!$E$51/('Market Penetration'!G40*'Market Data'!$C$51))</f>
        <v>0</v>
      </c>
      <c r="AD40" s="307">
        <f>IF('Market Penetration'!H40=0,0,1000*H40*'Market Data'!$O$51/('Market Penetration'!H40*'Market Data'!$M$51))</f>
        <v>46686.058381263407</v>
      </c>
      <c r="AE40" s="308">
        <f>IF('Market Penetration'!I40=0,0,1000*I40*'Market Data'!$O$51/('Market Penetration'!I40*'Market Data'!$M$51))</f>
        <v>99591.098727307181</v>
      </c>
      <c r="AF40" s="308">
        <f>IF('Market Penetration'!J40=0,0,1000*J40*'Market Data'!$O$51/('Market Penetration'!J40*'Market Data'!$M$51))</f>
        <v>104087.53594898182</v>
      </c>
      <c r="AG40" s="308">
        <f>IF('Market Penetration'!K40=0,0,1000*K40*'Market Data'!$O$51/('Market Penetration'!K40*'Market Data'!$M$51))</f>
        <v>0</v>
      </c>
      <c r="AH40" s="308">
        <f>IF('Market Penetration'!L40=0,0,1000*L40*'Market Data'!$O$51/('Market Penetration'!L40*'Market Data'!$M$51))</f>
        <v>0</v>
      </c>
      <c r="AI40" s="309">
        <f>IF('Market Penetration'!M40=0,0,1000*M40*'Market Data'!$O$51/('Market Penetration'!M40*'Market Data'!$M$51))</f>
        <v>213771.41575737327</v>
      </c>
      <c r="AJ40" s="307">
        <f>IF('Market Penetration'!N40=0,0,1000*N40*'Market Data'!$Y$51/('Market Penetration'!N40*'Market Data'!$W$51))</f>
        <v>15389.295716067685</v>
      </c>
      <c r="AK40" s="308">
        <f>IF('Market Penetration'!O40=0,0,1000*O40*'Market Data'!$Y$51/('Market Penetration'!O40*'Market Data'!$W$51))</f>
        <v>45284.257264133863</v>
      </c>
      <c r="AL40" s="308">
        <f>IF('Market Penetration'!P40=0,0,1000*P40*'Market Data'!$Y$51/('Market Penetration'!P40*'Market Data'!$W$51))</f>
        <v>35075.084377699342</v>
      </c>
      <c r="AM40" s="542">
        <f>IF('Market Penetration'!Q40=0,0,1000*Q40*'Market Data'!$Y$51/('Market Penetration'!Q40*'Market Data'!$W$51))</f>
        <v>0</v>
      </c>
      <c r="AN40" s="308">
        <f>IF('Market Penetration'!R40=0,0,1000*R40*'Market Data'!$Y$51/('Market Penetration'!R40*'Market Data'!$W$51))</f>
        <v>136813.57796487794</v>
      </c>
      <c r="AO40" s="537">
        <f>IF('Market Penetration'!S40=0,0,1000*S40*'Market Data'!$Y$51/('Market Penetration'!S40*'Market Data'!$W$51))</f>
        <v>133046.50743371912</v>
      </c>
      <c r="AP40" s="307">
        <f>IF('Market Penetration'!T40=0,0,1000*T40*('Market Data'!$E$51+'Market Data'!$O$51+'Market Data'!$Y$51)/('Market Penetration'!T40*('Market Data'!$C$51+'Market Data'!$M$51+'Market Data'!$W$51)))</f>
        <v>26569.559639449973</v>
      </c>
      <c r="AQ40" s="309">
        <f>IF('Market Penetration'!U40=0,0,1000*U40*('Market Data'!$E$51+'Market Data'!$O$51+'Market Data'!$Y$51)/('Market Penetration'!U40*('Market Data'!$C$51+'Market Data'!$M$51+'Market Data'!$W$51)))</f>
        <v>95493.868886703247</v>
      </c>
    </row>
    <row r="41" spans="1:43" ht="15" x14ac:dyDescent="0.25">
      <c r="A41" s="275">
        <v>2039</v>
      </c>
      <c r="B41" s="288">
        <f t="shared" si="12"/>
        <v>2.523677476900299E-2</v>
      </c>
      <c r="C41" s="289">
        <f>'7&amp;8 Sleep'!$M108+'7&amp;8 Sleep'!$Z108</f>
        <v>0.51065437773268485</v>
      </c>
      <c r="D41" s="289">
        <f>'7&amp;8 Sleep'!$M160+'7&amp;8 Sleep'!$Z160</f>
        <v>0.46410884749831216</v>
      </c>
      <c r="E41" s="547">
        <f>'7&amp;8 Sleep'!$M212+'7&amp;8 Sleep'!$Z212</f>
        <v>0</v>
      </c>
      <c r="F41" s="289">
        <f>'7&amp;8 Sleep'!$M265+'7&amp;8 Sleep'!$Z265</f>
        <v>0</v>
      </c>
      <c r="G41" s="505">
        <f>'7&amp;8 Sleep'!$M318+'7&amp;8 Sleep'!$Z318</f>
        <v>0</v>
      </c>
      <c r="H41" s="700">
        <f t="shared" si="13"/>
        <v>0.26338767198332169</v>
      </c>
      <c r="I41" s="505">
        <f>'7&amp;8 Day'!$M108+'7&amp;8 Day'!$Z108</f>
        <v>0.38980374599938122</v>
      </c>
      <c r="J41" s="505">
        <f>'7&amp;8 Day'!$M160+'7&amp;8 Day'!$Z160</f>
        <v>0.34378527485121502</v>
      </c>
      <c r="K41" s="505">
        <f>'7&amp;8 Day'!$M212+'7&amp;8 Day'!$Z212</f>
        <v>0</v>
      </c>
      <c r="L41" s="505">
        <f>'7&amp;8 Day'!$M265+'7&amp;8 Day'!$Z265</f>
        <v>3.8233987055496797E-5</v>
      </c>
      <c r="M41" s="552">
        <f>'7&amp;8 Day'!$M318+'7&amp;8 Day'!$Z318</f>
        <v>2.9850731790266294E-3</v>
      </c>
      <c r="N41" s="288">
        <f t="shared" si="14"/>
        <v>0.23175899122768817</v>
      </c>
      <c r="O41" s="289">
        <f>'7&amp;8 SU'!$M108+'7&amp;8 SU'!$Z108</f>
        <v>0.29618098143228305</v>
      </c>
      <c r="P41" s="289">
        <f>'7&amp;8 SU'!$M160+'7&amp;8 SU'!$Z160</f>
        <v>0.4564701380712658</v>
      </c>
      <c r="Q41" s="547">
        <f>'7&amp;8 SU'!$M212+'7&amp;8 SU'!$Z212</f>
        <v>0</v>
      </c>
      <c r="R41" s="289">
        <f>'7&amp;8 SU'!$M265+'7&amp;8 SU'!$Z265</f>
        <v>7.1634189773193916E-3</v>
      </c>
      <c r="S41" s="505">
        <f>'7&amp;8 SU'!$M318+'7&amp;8 SU'!$Z318</f>
        <v>8.4264702914436107E-3</v>
      </c>
      <c r="T41" s="288">
        <f>B41*'Market Data'!$E$52+H41*'Market Data'!$O$52+N41*+N41*'Market Data'!$Y$52</f>
        <v>8.5397287226716759E-2</v>
      </c>
      <c r="U41" s="290">
        <f>SUM(C41:G41)*'Market Data'!$E$52+SUM(I41:M41)*'Market Data'!$O$52+SUM(O41:S41)*+N41*'Market Data'!$Y$52</f>
        <v>0.84570808269357967</v>
      </c>
      <c r="W41" s="275">
        <v>2039</v>
      </c>
      <c r="X41" s="307">
        <f>IF('Market Penetration'!B41=0,0,1000*B41*'Market Data'!$E$51/('Market Penetration'!B41*'Market Data'!$C$51))</f>
        <v>42670.152601215799</v>
      </c>
      <c r="Y41" s="308">
        <f>IF('Market Penetration'!C41=0,0,1000*C41*'Market Data'!$E$51/('Market Penetration'!C41*'Market Data'!$C$51))</f>
        <v>117565.5411483154</v>
      </c>
      <c r="Z41" s="308">
        <f>IF('Market Penetration'!D41=0,0,1000*D41*'Market Data'!$E$51/('Market Penetration'!D41*'Market Data'!$C$51))</f>
        <v>121665.44928294636</v>
      </c>
      <c r="AA41" s="542">
        <f>IF('Market Penetration'!E41=0,0,1000*E41*'Market Data'!$E$51/('Market Penetration'!E41*'Market Data'!$C$51))</f>
        <v>0</v>
      </c>
      <c r="AB41" s="308">
        <f>IF('Market Penetration'!F41=0,0,1000*F41*'Market Data'!$E$51/('Market Penetration'!F41*'Market Data'!$C$51))</f>
        <v>0</v>
      </c>
      <c r="AC41" s="537">
        <f>IF('Market Penetration'!G41=0,0,1000*G41*'Market Data'!$E$51/('Market Penetration'!G41*'Market Data'!$C$51))</f>
        <v>0</v>
      </c>
      <c r="AD41" s="307">
        <f>IF('Market Penetration'!H41=0,0,1000*H41*'Market Data'!$O$51/('Market Penetration'!H41*'Market Data'!$M$51))</f>
        <v>46225.476208094966</v>
      </c>
      <c r="AE41" s="308">
        <f>IF('Market Penetration'!I41=0,0,1000*I41*'Market Data'!$O$51/('Market Penetration'!I41*'Market Data'!$M$51))</f>
        <v>98871.460174640626</v>
      </c>
      <c r="AF41" s="308">
        <f>IF('Market Penetration'!J41=0,0,1000*J41*'Market Data'!$O$51/('Market Penetration'!J41*'Market Data'!$M$51))</f>
        <v>103096.06822074162</v>
      </c>
      <c r="AG41" s="308">
        <f>IF('Market Penetration'!K41=0,0,1000*K41*'Market Data'!$O$51/('Market Penetration'!K41*'Market Data'!$M$51))</f>
        <v>0</v>
      </c>
      <c r="AH41" s="308">
        <f>IF('Market Penetration'!L41=0,0,1000*L41*'Market Data'!$O$51/('Market Penetration'!L41*'Market Data'!$M$51))</f>
        <v>218117.83528449031</v>
      </c>
      <c r="AI41" s="309">
        <f>IF('Market Penetration'!M41=0,0,1000*M41*'Market Data'!$O$51/('Market Penetration'!M41*'Market Data'!$M$51))</f>
        <v>207722.90332468122</v>
      </c>
      <c r="AJ41" s="307">
        <f>IF('Market Penetration'!N41=0,0,1000*N41*'Market Data'!$Y$51/('Market Penetration'!N41*'Market Data'!$W$51))</f>
        <v>14684.209438829324</v>
      </c>
      <c r="AK41" s="308">
        <f>IF('Market Penetration'!O41=0,0,1000*O41*'Market Data'!$Y$51/('Market Penetration'!O41*'Market Data'!$W$51))</f>
        <v>42716.38692966073</v>
      </c>
      <c r="AL41" s="308">
        <f>IF('Market Penetration'!P41=0,0,1000*P41*'Market Data'!$Y$51/('Market Penetration'!P41*'Market Data'!$W$51))</f>
        <v>32974.198668603531</v>
      </c>
      <c r="AM41" s="542">
        <f>IF('Market Penetration'!Q41=0,0,1000*Q41*'Market Data'!$Y$51/('Market Penetration'!Q41*'Market Data'!$W$51))</f>
        <v>0</v>
      </c>
      <c r="AN41" s="308">
        <f>IF('Market Penetration'!R41=0,0,1000*R41*'Market Data'!$Y$51/('Market Penetration'!R41*'Market Data'!$W$51))</f>
        <v>127472.43011947162</v>
      </c>
      <c r="AO41" s="537">
        <f>IF('Market Penetration'!S41=0,0,1000*S41*'Market Data'!$Y$51/('Market Penetration'!S41*'Market Data'!$W$51))</f>
        <v>126847.18709076814</v>
      </c>
      <c r="AP41" s="307">
        <f>IF('Market Penetration'!T41=0,0,1000*T41*('Market Data'!$E$51+'Market Data'!$O$51+'Market Data'!$Y$51)/('Market Penetration'!T41*('Market Data'!$C$51+'Market Data'!$M$51+'Market Data'!$W$51)))</f>
        <v>26778.758042026016</v>
      </c>
      <c r="AQ41" s="309">
        <f>IF('Market Penetration'!U41=0,0,1000*U41*('Market Data'!$E$51+'Market Data'!$O$51+'Market Data'!$Y$51)/('Market Penetration'!U41*('Market Data'!$C$51+'Market Data'!$M$51+'Market Data'!$W$51)))</f>
        <v>93024.682756366456</v>
      </c>
    </row>
    <row r="42" spans="1:43" ht="15" x14ac:dyDescent="0.25">
      <c r="A42" s="274">
        <v>2040</v>
      </c>
      <c r="B42" s="291">
        <f t="shared" si="12"/>
        <v>2.4959621962705736E-2</v>
      </c>
      <c r="C42" s="292">
        <f>'7&amp;8 Sleep'!$M109+'7&amp;8 Sleep'!$Z109</f>
        <v>0.50535305709803091</v>
      </c>
      <c r="D42" s="292">
        <f>'7&amp;8 Sleep'!$M161+'7&amp;8 Sleep'!$Z161</f>
        <v>0.46968732093926341</v>
      </c>
      <c r="E42" s="548">
        <f>'7&amp;8 Sleep'!$M213+'7&amp;8 Sleep'!$Z213</f>
        <v>0</v>
      </c>
      <c r="F42" s="292">
        <f>'7&amp;8 Sleep'!$M266+'7&amp;8 Sleep'!$Z266</f>
        <v>0</v>
      </c>
      <c r="G42" s="506">
        <f>'7&amp;8 Sleep'!$M319+'7&amp;8 Sleep'!$Z319</f>
        <v>0</v>
      </c>
      <c r="H42" s="701">
        <f t="shared" si="13"/>
        <v>0.25867347483338787</v>
      </c>
      <c r="I42" s="506">
        <f>'7&amp;8 Day'!$M109+'7&amp;8 Day'!$Z109</f>
        <v>0.38618075378775368</v>
      </c>
      <c r="J42" s="506">
        <f>'7&amp;8 Day'!$M161+'7&amp;8 Day'!$Z161</f>
        <v>0.34815337589188122</v>
      </c>
      <c r="K42" s="506">
        <f>'7&amp;8 Day'!$M213+'7&amp;8 Day'!$Z213</f>
        <v>0</v>
      </c>
      <c r="L42" s="506">
        <f>'7&amp;8 Day'!$M266+'7&amp;8 Day'!$Z266</f>
        <v>7.5905735585567288E-4</v>
      </c>
      <c r="M42" s="553">
        <f>'7&amp;8 Day'!$M319+'7&amp;8 Day'!$Z319</f>
        <v>6.2333381311215933E-3</v>
      </c>
      <c r="N42" s="291">
        <f t="shared" si="14"/>
        <v>0.18724348425665105</v>
      </c>
      <c r="O42" s="292">
        <f>'7&amp;8 SU'!$M109+'7&amp;8 SU'!$Z109</f>
        <v>0.32455031962230813</v>
      </c>
      <c r="P42" s="292">
        <f>'7&amp;8 SU'!$M161+'7&amp;8 SU'!$Z161</f>
        <v>0.46659158788421173</v>
      </c>
      <c r="Q42" s="548">
        <f>'7&amp;8 SU'!$M213+'7&amp;8 SU'!$Z213</f>
        <v>0</v>
      </c>
      <c r="R42" s="292">
        <f>'7&amp;8 SU'!$M266+'7&amp;8 SU'!$Z266</f>
        <v>1.0643192884928918E-2</v>
      </c>
      <c r="S42" s="506">
        <f>'7&amp;8 SU'!$M319+'7&amp;8 SU'!$Z319</f>
        <v>1.0971415351900301E-2</v>
      </c>
      <c r="T42" s="291">
        <f>B42*'Market Data'!$E$52+H42*'Market Data'!$O$52+N42*+N42*'Market Data'!$Y$52</f>
        <v>8.2399010677868242E-2</v>
      </c>
      <c r="U42" s="293">
        <f>SUM(C42:G42)*'Market Data'!$E$52+SUM(I42:M42)*'Market Data'!$O$52+SUM(O42:S42)*+N42*'Market Data'!$Y$52</f>
        <v>0.84471427947766653</v>
      </c>
      <c r="W42" s="274">
        <v>2040</v>
      </c>
      <c r="X42" s="310">
        <f>IF('Market Penetration'!B42=0,0,1000*B42*'Market Data'!$E$51/('Market Penetration'!B42*'Market Data'!$C$51))</f>
        <v>42986.792190184678</v>
      </c>
      <c r="Y42" s="311">
        <f>IF('Market Penetration'!C42=0,0,1000*C42*'Market Data'!$E$51/('Market Penetration'!C42*'Market Data'!$C$51))</f>
        <v>117745.15216492234</v>
      </c>
      <c r="Z42" s="311">
        <f>IF('Market Penetration'!D42=0,0,1000*D42*'Market Data'!$E$51/('Market Penetration'!D42*'Market Data'!$C$51))</f>
        <v>121144.45344523313</v>
      </c>
      <c r="AA42" s="543">
        <f>IF('Market Penetration'!E42=0,0,1000*E42*'Market Data'!$E$51/('Market Penetration'!E42*'Market Data'!$C$51))</f>
        <v>0</v>
      </c>
      <c r="AB42" s="311">
        <f>IF('Market Penetration'!F42=0,0,1000*F42*'Market Data'!$E$51/('Market Penetration'!F42*'Market Data'!$C$51))</f>
        <v>0</v>
      </c>
      <c r="AC42" s="538">
        <f>IF('Market Penetration'!G42=0,0,1000*G42*'Market Data'!$E$51/('Market Penetration'!G42*'Market Data'!$C$51))</f>
        <v>0</v>
      </c>
      <c r="AD42" s="310">
        <f>IF('Market Penetration'!H42=0,0,1000*H42*'Market Data'!$O$51/('Market Penetration'!H42*'Market Data'!$M$51))</f>
        <v>46004.071942485032</v>
      </c>
      <c r="AE42" s="311">
        <f>IF('Market Penetration'!I42=0,0,1000*I42*'Market Data'!$O$51/('Market Penetration'!I42*'Market Data'!$M$51))</f>
        <v>98569.265204485157</v>
      </c>
      <c r="AF42" s="311">
        <f>IF('Market Penetration'!J42=0,0,1000*J42*'Market Data'!$O$51/('Market Penetration'!J42*'Market Data'!$M$51))</f>
        <v>101996.79005150549</v>
      </c>
      <c r="AG42" s="311">
        <f>IF('Market Penetration'!K42=0,0,1000*K42*'Market Data'!$O$51/('Market Penetration'!K42*'Market Data'!$M$51))</f>
        <v>0</v>
      </c>
      <c r="AH42" s="311">
        <f>IF('Market Penetration'!L42=0,0,1000*L42*'Market Data'!$O$51/('Market Penetration'!L42*'Market Data'!$M$51))</f>
        <v>208827.26605925141</v>
      </c>
      <c r="AI42" s="312">
        <f>IF('Market Penetration'!M42=0,0,1000*M42*'Market Data'!$O$51/('Market Penetration'!M42*'Market Data'!$M$51))</f>
        <v>195611.42515262781</v>
      </c>
      <c r="AJ42" s="310">
        <f>IF('Market Penetration'!N42=0,0,1000*N42*'Market Data'!$Y$51/('Market Penetration'!N42*'Market Data'!$W$51))</f>
        <v>14045.683003793407</v>
      </c>
      <c r="AK42" s="311">
        <f>IF('Market Penetration'!O42=0,0,1000*O42*'Market Data'!$Y$51/('Market Penetration'!O42*'Market Data'!$W$51))</f>
        <v>40751.393807577624</v>
      </c>
      <c r="AL42" s="311">
        <f>IF('Market Penetration'!P42=0,0,1000*P42*'Market Data'!$Y$51/('Market Penetration'!P42*'Market Data'!$W$51))</f>
        <v>30688.859182548204</v>
      </c>
      <c r="AM42" s="543">
        <f>IF('Market Penetration'!Q42=0,0,1000*Q42*'Market Data'!$Y$51/('Market Penetration'!Q42*'Market Data'!$W$51))</f>
        <v>0</v>
      </c>
      <c r="AN42" s="311">
        <f>IF('Market Penetration'!R42=0,0,1000*R42*'Market Data'!$Y$51/('Market Penetration'!R42*'Market Data'!$W$51))</f>
        <v>116713.02620720987</v>
      </c>
      <c r="AO42" s="538">
        <f>IF('Market Penetration'!S42=0,0,1000*S42*'Market Data'!$Y$51/('Market Penetration'!S42*'Market Data'!$W$51))</f>
        <v>119134.73325361208</v>
      </c>
      <c r="AP42" s="310">
        <f>IF('Market Penetration'!T42=0,0,1000*T42*('Market Data'!$E$51+'Market Data'!$O$51+'Market Data'!$Y$51)/('Market Penetration'!T42*('Market Data'!$C$51+'Market Data'!$M$51+'Market Data'!$W$51)))</f>
        <v>27991.259146298064</v>
      </c>
      <c r="AQ42" s="312">
        <f>IF('Market Penetration'!U42=0,0,1000*U42*('Market Data'!$E$51+'Market Data'!$O$51+'Market Data'!$Y$51)/('Market Penetration'!U42*('Market Data'!$C$51+'Market Data'!$M$51+'Market Data'!$W$51)))</f>
        <v>90474.644670291731</v>
      </c>
    </row>
    <row r="43" spans="1:43" ht="15" x14ac:dyDescent="0.25">
      <c r="A43" s="275">
        <v>2041</v>
      </c>
      <c r="B43" s="295">
        <f t="shared" si="12"/>
        <v>2.3471387062645288E-2</v>
      </c>
      <c r="C43" s="296">
        <f>'7&amp;8 Sleep'!$M110+'7&amp;8 Sleep'!$Z110</f>
        <v>0.50156432580184851</v>
      </c>
      <c r="D43" s="296">
        <f>'7&amp;8 Sleep'!$M162+'7&amp;8 Sleep'!$Z162</f>
        <v>0.4749642871355062</v>
      </c>
      <c r="E43" s="549">
        <f>'7&amp;8 Sleep'!$M214+'7&amp;8 Sleep'!$Z214</f>
        <v>0</v>
      </c>
      <c r="F43" s="296">
        <f>'7&amp;8 Sleep'!$M267+'7&amp;8 Sleep'!$Z267</f>
        <v>0</v>
      </c>
      <c r="G43" s="507">
        <f>'7&amp;8 Sleep'!$M320+'7&amp;8 Sleep'!$Z320</f>
        <v>0</v>
      </c>
      <c r="H43" s="702">
        <f t="shared" si="13"/>
        <v>0.25144355611463809</v>
      </c>
      <c r="I43" s="507">
        <f>'7&amp;8 Day'!$M110+'7&amp;8 Day'!$Z110</f>
        <v>0.37954436740917685</v>
      </c>
      <c r="J43" s="507">
        <f>'7&amp;8 Day'!$M162+'7&amp;8 Day'!$Z162</f>
        <v>0.34874744285880754</v>
      </c>
      <c r="K43" s="507">
        <f>'7&amp;8 Day'!$M214+'7&amp;8 Day'!$Z214</f>
        <v>0</v>
      </c>
      <c r="L43" s="507">
        <f>'7&amp;8 Day'!$M267+'7&amp;8 Day'!$Z267</f>
        <v>6.2619659180381719E-3</v>
      </c>
      <c r="M43" s="554">
        <f>'7&amp;8 Day'!$M320+'7&amp;8 Day'!$Z320</f>
        <v>1.4002667699339343E-2</v>
      </c>
      <c r="N43" s="295">
        <f t="shared" si="14"/>
        <v>0.13512515083952226</v>
      </c>
      <c r="O43" s="296">
        <f>'7&amp;8 SU'!$M110+'7&amp;8 SU'!$Z110</f>
        <v>0.35085195356183674</v>
      </c>
      <c r="P43" s="296">
        <f>'7&amp;8 SU'!$M162+'7&amp;8 SU'!$Z162</f>
        <v>0.48192854025646109</v>
      </c>
      <c r="Q43" s="549">
        <f>'7&amp;8 SU'!$M214+'7&amp;8 SU'!$Z214</f>
        <v>0</v>
      </c>
      <c r="R43" s="296">
        <f>'7&amp;8 SU'!$M267+'7&amp;8 SU'!$Z267</f>
        <v>1.6497447997180729E-2</v>
      </c>
      <c r="S43" s="507">
        <f>'7&amp;8 SU'!$M320+'7&amp;8 SU'!$Z320</f>
        <v>1.5596907344999094E-2</v>
      </c>
      <c r="T43" s="298">
        <f>B43*'Market Data'!$E$52+H43*'Market Data'!$O$52+N43*+N43*'Market Data'!$Y$52</f>
        <v>7.8148653690463574E-2</v>
      </c>
      <c r="U43" s="299">
        <f>SUM(C43:G43)*'Market Data'!$E$52+SUM(I43:M43)*'Market Data'!$O$52+SUM(O43:S43)*+N43*'Market Data'!$Y$52</f>
        <v>0.84429074733374021</v>
      </c>
      <c r="W43" s="275">
        <v>2041</v>
      </c>
      <c r="X43" s="313">
        <f>IF('Market Penetration'!B43=0,0,1000*B43*'Market Data'!$E$51/('Market Penetration'!B43*'Market Data'!$C$51))</f>
        <v>42038.492368086103</v>
      </c>
      <c r="Y43" s="314">
        <f>IF('Market Penetration'!C43=0,0,1000*C43*'Market Data'!$E$51/('Market Penetration'!C43*'Market Data'!$C$51))</f>
        <v>117861.28055927117</v>
      </c>
      <c r="Z43" s="314">
        <f>IF('Market Penetration'!D43=0,0,1000*D43*'Market Data'!$E$51/('Market Penetration'!D43*'Market Data'!$C$51))</f>
        <v>120679.08307991593</v>
      </c>
      <c r="AA43" s="544">
        <f>IF('Market Penetration'!E43=0,0,1000*E43*'Market Data'!$E$51/('Market Penetration'!E43*'Market Data'!$C$51))</f>
        <v>0</v>
      </c>
      <c r="AB43" s="314">
        <f>IF('Market Penetration'!F43=0,0,1000*F43*'Market Data'!$E$51/('Market Penetration'!F43*'Market Data'!$C$51))</f>
        <v>0</v>
      </c>
      <c r="AC43" s="539">
        <f>IF('Market Penetration'!G43=0,0,1000*G43*'Market Data'!$E$51/('Market Penetration'!G43*'Market Data'!$C$51))</f>
        <v>0</v>
      </c>
      <c r="AD43" s="313">
        <f>IF('Market Penetration'!H43=0,0,1000*H43*'Market Data'!$O$51/('Market Penetration'!H43*'Market Data'!$M$51))</f>
        <v>45607.367701330222</v>
      </c>
      <c r="AE43" s="314">
        <f>IF('Market Penetration'!I43=0,0,1000*I43*'Market Data'!$O$51/('Market Penetration'!I43*'Market Data'!$M$51))</f>
        <v>97684.23535894962</v>
      </c>
      <c r="AF43" s="314">
        <f>IF('Market Penetration'!J43=0,0,1000*J43*'Market Data'!$O$51/('Market Penetration'!J43*'Market Data'!$M$51))</f>
        <v>100282.48537846761</v>
      </c>
      <c r="AG43" s="314">
        <f>IF('Market Penetration'!K43=0,0,1000*K43*'Market Data'!$O$51/('Market Penetration'!K43*'Market Data'!$M$51))</f>
        <v>0</v>
      </c>
      <c r="AH43" s="314">
        <f>IF('Market Penetration'!L43=0,0,1000*L43*'Market Data'!$O$51/('Market Penetration'!L43*'Market Data'!$M$51))</f>
        <v>185048.33959043986</v>
      </c>
      <c r="AI43" s="707">
        <f>IF('Market Penetration'!M43=0,0,1000*M43*'Market Data'!$O$51/('Market Penetration'!M43*'Market Data'!$M$51))</f>
        <v>176259.12053932191</v>
      </c>
      <c r="AJ43" s="313">
        <f>IF('Market Penetration'!N43=0,0,1000*N43*'Market Data'!$Y$51/('Market Penetration'!N43*'Market Data'!$W$51))</f>
        <v>13468.816748637255</v>
      </c>
      <c r="AK43" s="314">
        <f>IF('Market Penetration'!O43=0,0,1000*O43*'Market Data'!$Y$51/('Market Penetration'!O43*'Market Data'!$W$51))</f>
        <v>38067.786258850756</v>
      </c>
      <c r="AL43" s="314">
        <f>IF('Market Penetration'!P43=0,0,1000*P43*'Market Data'!$Y$51/('Market Penetration'!P43*'Market Data'!$W$51))</f>
        <v>28132.864496239687</v>
      </c>
      <c r="AM43" s="544">
        <f>IF('Market Penetration'!Q43=0,0,1000*Q43*'Market Data'!$Y$51/('Market Penetration'!Q43*'Market Data'!$W$51))</f>
        <v>0</v>
      </c>
      <c r="AN43" s="314">
        <f>IF('Market Penetration'!R43=0,0,1000*R43*'Market Data'!$Y$51/('Market Penetration'!R43*'Market Data'!$W$51))</f>
        <v>104213.29095019399</v>
      </c>
      <c r="AO43" s="539">
        <f>IF('Market Penetration'!S43=0,0,1000*S43*'Market Data'!$Y$51/('Market Penetration'!S43*'Market Data'!$W$51))</f>
        <v>107780.21411382519</v>
      </c>
      <c r="AP43" s="315">
        <f>IF('Market Penetration'!T43=0,0,1000*T43*('Market Data'!$E$51+'Market Data'!$O$51+'Market Data'!$Y$51)/('Market Penetration'!T43*('Market Data'!$C$51+'Market Data'!$M$51+'Market Data'!$W$51)))</f>
        <v>29982.166702178816</v>
      </c>
      <c r="AQ43" s="316">
        <f>IF('Market Penetration'!U43=0,0,1000*U43*('Market Data'!$E$51+'Market Data'!$O$51+'Market Data'!$Y$51)/('Market Penetration'!U43*('Market Data'!$C$51+'Market Data'!$M$51+'Market Data'!$W$51)))</f>
        <v>87276.817247298066</v>
      </c>
    </row>
    <row r="44" spans="1:43" ht="15" x14ac:dyDescent="0.25">
      <c r="A44" s="275">
        <v>2042</v>
      </c>
      <c r="B44" s="288">
        <f t="shared" si="12"/>
        <v>2.3892335687821897E-2</v>
      </c>
      <c r="C44" s="289">
        <f>'7&amp;8 Sleep'!$M111+'7&amp;8 Sleep'!$Z111</f>
        <v>0.497747310894392</v>
      </c>
      <c r="D44" s="289">
        <f>'7&amp;8 Sleep'!$M163+'7&amp;8 Sleep'!$Z163</f>
        <v>0.47831507492309172</v>
      </c>
      <c r="E44" s="547">
        <f>'7&amp;8 Sleep'!$M215+'7&amp;8 Sleep'!$Z215</f>
        <v>0</v>
      </c>
      <c r="F44" s="289">
        <f>'7&amp;8 Sleep'!$M268+'7&amp;8 Sleep'!$Z268</f>
        <v>3.5709658016333634E-5</v>
      </c>
      <c r="G44" s="505">
        <f>'7&amp;8 Sleep'!$M321+'7&amp;8 Sleep'!$Z321</f>
        <v>9.5688366780717217E-6</v>
      </c>
      <c r="H44" s="700">
        <f t="shared" si="13"/>
        <v>0.24018303986490508</v>
      </c>
      <c r="I44" s="505">
        <f>'7&amp;8 Day'!$M111+'7&amp;8 Day'!$Z111</f>
        <v>0.36408172288815721</v>
      </c>
      <c r="J44" s="505">
        <f>'7&amp;8 Day'!$M163+'7&amp;8 Day'!$Z163</f>
        <v>0.33975296743594186</v>
      </c>
      <c r="K44" s="505">
        <f>'7&amp;8 Day'!$M215+'7&amp;8 Day'!$Z215</f>
        <v>0</v>
      </c>
      <c r="L44" s="505">
        <f>'7&amp;8 Day'!$M268+'7&amp;8 Day'!$Z268</f>
        <v>2.5648050097677896E-2</v>
      </c>
      <c r="M44" s="552">
        <f>'7&amp;8 Day'!$M321+'7&amp;8 Day'!$Z321</f>
        <v>3.0334219713317956E-2</v>
      </c>
      <c r="N44" s="288">
        <f t="shared" si="14"/>
        <v>8.2822476770446962E-2</v>
      </c>
      <c r="O44" s="289">
        <f>'7&amp;8 SU'!$M111+'7&amp;8 SU'!$Z111</f>
        <v>0.37200575476014841</v>
      </c>
      <c r="P44" s="289">
        <f>'7&amp;8 SU'!$M163+'7&amp;8 SU'!$Z163</f>
        <v>0.4959939686678887</v>
      </c>
      <c r="Q44" s="547">
        <f>'7&amp;8 SU'!$M215+'7&amp;8 SU'!$Z215</f>
        <v>0</v>
      </c>
      <c r="R44" s="289">
        <f>'7&amp;8 SU'!$M268+'7&amp;8 SU'!$Z268</f>
        <v>2.5798297258145714E-2</v>
      </c>
      <c r="S44" s="505">
        <f>'7&amp;8 SU'!$M321+'7&amp;8 SU'!$Z321</f>
        <v>2.3379502543370144E-2</v>
      </c>
      <c r="T44" s="288">
        <f>B44*'Market Data'!$E$52+H44*'Market Data'!$O$52+N44*+N44*'Market Data'!$Y$52</f>
        <v>7.4683929359998624E-2</v>
      </c>
      <c r="U44" s="290">
        <f>SUM(C44:G44)*'Market Data'!$E$52+SUM(I44:M44)*'Market Data'!$O$52+SUM(O44:S44)*+N44*'Market Data'!$Y$52</f>
        <v>0.84306505115680908</v>
      </c>
      <c r="W44" s="275">
        <v>2042</v>
      </c>
      <c r="X44" s="307">
        <f>IF('Market Penetration'!B44=0,0,1000*B44*'Market Data'!$E$51/('Market Penetration'!B44*'Market Data'!$C$51))</f>
        <v>42697.770694560109</v>
      </c>
      <c r="Y44" s="308">
        <f>IF('Market Penetration'!C44=0,0,1000*C44*'Market Data'!$E$51/('Market Penetration'!C44*'Market Data'!$C$51))</f>
        <v>118246.43420564325</v>
      </c>
      <c r="Z44" s="308">
        <f>IF('Market Penetration'!D44=0,0,1000*D44*'Market Data'!$E$51/('Market Penetration'!D44*'Market Data'!$C$51))</f>
        <v>120165.6224094279</v>
      </c>
      <c r="AA44" s="542">
        <f>IF('Market Penetration'!E44=0,0,1000*E44*'Market Data'!$E$51/('Market Penetration'!E44*'Market Data'!$C$51))</f>
        <v>0</v>
      </c>
      <c r="AB44" s="308">
        <f>IF('Market Penetration'!F44=0,0,1000*F44*'Market Data'!$E$51/('Market Penetration'!F44*'Market Data'!$C$51))</f>
        <v>224042.00197938742</v>
      </c>
      <c r="AC44" s="537">
        <f>IF('Market Penetration'!G44=0,0,1000*G44*'Market Data'!$E$51/('Market Penetration'!G44*'Market Data'!$C$51))</f>
        <v>227152.06402989526</v>
      </c>
      <c r="AD44" s="307">
        <f>IF('Market Penetration'!H44=0,0,1000*H44*'Market Data'!$O$51/('Market Penetration'!H44*'Market Data'!$M$51))</f>
        <v>44927.160129791868</v>
      </c>
      <c r="AE44" s="308">
        <f>IF('Market Penetration'!I44=0,0,1000*I44*'Market Data'!$O$51/('Market Penetration'!I44*'Market Data'!$M$51))</f>
        <v>95869.429623438336</v>
      </c>
      <c r="AF44" s="308">
        <f>IF('Market Penetration'!J44=0,0,1000*J44*'Market Data'!$O$51/('Market Penetration'!J44*'Market Data'!$M$51))</f>
        <v>97514.879570397999</v>
      </c>
      <c r="AG44" s="308">
        <f>IF('Market Penetration'!K44=0,0,1000*K44*'Market Data'!$O$51/('Market Penetration'!K44*'Market Data'!$M$51))</f>
        <v>0</v>
      </c>
      <c r="AH44" s="308">
        <f>IF('Market Penetration'!L44=0,0,1000*L44*'Market Data'!$O$51/('Market Penetration'!L44*'Market Data'!$M$51))</f>
        <v>155175.82655156867</v>
      </c>
      <c r="AI44" s="309">
        <f>IF('Market Penetration'!M44=0,0,1000*M44*'Market Data'!$O$51/('Market Penetration'!M44*'Market Data'!$M$51))</f>
        <v>154418.55278274507</v>
      </c>
      <c r="AJ44" s="307">
        <f>IF('Market Penetration'!N44=0,0,1000*N44*'Market Data'!$Y$51/('Market Penetration'!N44*'Market Data'!$W$51))</f>
        <v>12958.748101679941</v>
      </c>
      <c r="AK44" s="308">
        <f>IF('Market Penetration'!O44=0,0,1000*O44*'Market Data'!$Y$51/('Market Penetration'!O44*'Market Data'!$W$51))</f>
        <v>34747.391491426977</v>
      </c>
      <c r="AL44" s="308">
        <f>IF('Market Penetration'!P44=0,0,1000*P44*'Market Data'!$Y$51/('Market Penetration'!P44*'Market Data'!$W$51))</f>
        <v>26027.604138867129</v>
      </c>
      <c r="AM44" s="542">
        <f>IF('Market Penetration'!Q44=0,0,1000*Q44*'Market Data'!$Y$51/('Market Penetration'!Q44*'Market Data'!$W$51))</f>
        <v>0</v>
      </c>
      <c r="AN44" s="308">
        <f>IF('Market Penetration'!R44=0,0,1000*R44*'Market Data'!$Y$51/('Market Penetration'!R44*'Market Data'!$W$51))</f>
        <v>91542.769093405484</v>
      </c>
      <c r="AO44" s="537">
        <f>IF('Market Penetration'!S44=0,0,1000*S44*'Market Data'!$Y$51/('Market Penetration'!S44*'Market Data'!$W$51))</f>
        <v>94696.185252386233</v>
      </c>
      <c r="AP44" s="307">
        <f>IF('Market Penetration'!T44=0,0,1000*T44*('Market Data'!$E$51+'Market Data'!$O$51+'Market Data'!$Y$51)/('Market Penetration'!T44*('Market Data'!$C$51+'Market Data'!$M$51+'Market Data'!$W$51)))</f>
        <v>33335.712445376383</v>
      </c>
      <c r="AQ44" s="309">
        <f>IF('Market Penetration'!U44=0,0,1000*U44*('Market Data'!$E$51+'Market Data'!$O$51+'Market Data'!$Y$51)/('Market Penetration'!U44*('Market Data'!$C$51+'Market Data'!$M$51+'Market Data'!$W$51)))</f>
        <v>83971.810067578495</v>
      </c>
    </row>
    <row r="45" spans="1:43" ht="15" x14ac:dyDescent="0.25">
      <c r="A45" s="275">
        <v>2043</v>
      </c>
      <c r="B45" s="288">
        <f t="shared" si="12"/>
        <v>2.459414425261941E-2</v>
      </c>
      <c r="C45" s="289">
        <f>'7&amp;8 Sleep'!$M112+'7&amp;8 Sleep'!$Z112</f>
        <v>0.49041486203821527</v>
      </c>
      <c r="D45" s="289">
        <f>'7&amp;8 Sleep'!$M164+'7&amp;8 Sleep'!$Z164</f>
        <v>0.47772290266635264</v>
      </c>
      <c r="E45" s="547">
        <f>'7&amp;8 Sleep'!$M216+'7&amp;8 Sleep'!$Z216</f>
        <v>0</v>
      </c>
      <c r="F45" s="289">
        <f>'7&amp;8 Sleep'!$M269+'7&amp;8 Sleep'!$Z269</f>
        <v>5.7759461561406366E-3</v>
      </c>
      <c r="G45" s="505">
        <f>'7&amp;8 Sleep'!$M322+'7&amp;8 Sleep'!$Z322</f>
        <v>1.4921448866720363E-3</v>
      </c>
      <c r="H45" s="700">
        <f t="shared" si="13"/>
        <v>0.23682127138127029</v>
      </c>
      <c r="I45" s="505">
        <f>'7&amp;8 Day'!$M112+'7&amp;8 Day'!$Z112</f>
        <v>0.33420781339779754</v>
      </c>
      <c r="J45" s="505">
        <f>'7&amp;8 Day'!$M164+'7&amp;8 Day'!$Z164</f>
        <v>0.31595900696392176</v>
      </c>
      <c r="K45" s="505">
        <f>'7&amp;8 Day'!$M216+'7&amp;8 Day'!$Z216</f>
        <v>0</v>
      </c>
      <c r="L45" s="505">
        <f>'7&amp;8 Day'!$M269+'7&amp;8 Day'!$Z269</f>
        <v>5.5676283573539154E-2</v>
      </c>
      <c r="M45" s="552">
        <f>'7&amp;8 Day'!$M322+'7&amp;8 Day'!$Z322</f>
        <v>5.7335624683471267E-2</v>
      </c>
      <c r="N45" s="288">
        <f t="shared" si="14"/>
        <v>4.2443580433513484E-2</v>
      </c>
      <c r="O45" s="289">
        <f>'7&amp;8 SU'!$M112+'7&amp;8 SU'!$Z112</f>
        <v>0.38621573618853533</v>
      </c>
      <c r="P45" s="289">
        <f>'7&amp;8 SU'!$M164+'7&amp;8 SU'!$Z164</f>
        <v>0.49783203846362756</v>
      </c>
      <c r="Q45" s="547">
        <f>'7&amp;8 SU'!$M216+'7&amp;8 SU'!$Z216</f>
        <v>2.3791997432897357E-5</v>
      </c>
      <c r="R45" s="289">
        <f>'7&amp;8 SU'!$M269+'7&amp;8 SU'!$Z269</f>
        <v>3.7859044014292034E-2</v>
      </c>
      <c r="S45" s="505">
        <f>'7&amp;8 SU'!$M322+'7&amp;8 SU'!$Z322</f>
        <v>3.5625808902598706E-2</v>
      </c>
      <c r="T45" s="288">
        <f>B45*'Market Data'!$E$52+H45*'Market Data'!$O$52+N45*+N45*'Market Data'!$Y$52</f>
        <v>7.3886249856560018E-2</v>
      </c>
      <c r="U45" s="290">
        <f>SUM(C45:G45)*'Market Data'!$E$52+SUM(I45:M45)*'Market Data'!$O$52+SUM(O45:S45)*+N45*'Market Data'!$Y$52</f>
        <v>0.84024161554872134</v>
      </c>
      <c r="W45" s="275">
        <v>2043</v>
      </c>
      <c r="X45" s="307">
        <f>IF('Market Penetration'!B45=0,0,1000*B45*'Market Data'!$E$51/('Market Penetration'!B45*'Market Data'!$C$51))</f>
        <v>43494.259558748476</v>
      </c>
      <c r="Y45" s="308">
        <f>IF('Market Penetration'!C45=0,0,1000*C45*'Market Data'!$E$51/('Market Penetration'!C45*'Market Data'!$C$51))</f>
        <v>118191.50087455072</v>
      </c>
      <c r="Z45" s="308">
        <f>IF('Market Penetration'!D45=0,0,1000*D45*'Market Data'!$E$51/('Market Penetration'!D45*'Market Data'!$C$51))</f>
        <v>119451.65433081004</v>
      </c>
      <c r="AA45" s="542">
        <f>IF('Market Penetration'!E45=0,0,1000*E45*'Market Data'!$E$51/('Market Penetration'!E45*'Market Data'!$C$51))</f>
        <v>0</v>
      </c>
      <c r="AB45" s="308">
        <f>IF('Market Penetration'!F45=0,0,1000*F45*'Market Data'!$E$51/('Market Penetration'!F45*'Market Data'!$C$51))</f>
        <v>200833.12542821458</v>
      </c>
      <c r="AC45" s="537">
        <f>IF('Market Penetration'!G45=0,0,1000*G45*'Market Data'!$E$51/('Market Penetration'!G45*'Market Data'!$C$51))</f>
        <v>219391.6122703529</v>
      </c>
      <c r="AD45" s="307">
        <f>IF('Market Penetration'!H45=0,0,1000*H45*'Market Data'!$O$51/('Market Penetration'!H45*'Market Data'!$M$51))</f>
        <v>45011.457661585147</v>
      </c>
      <c r="AE45" s="308">
        <f>IF('Market Penetration'!I45=0,0,1000*I45*'Market Data'!$O$51/('Market Penetration'!I45*'Market Data'!$M$51))</f>
        <v>93627.143194594144</v>
      </c>
      <c r="AF45" s="308">
        <f>IF('Market Penetration'!J45=0,0,1000*J45*'Market Data'!$O$51/('Market Penetration'!J45*'Market Data'!$M$51))</f>
        <v>94954.921397836326</v>
      </c>
      <c r="AG45" s="308">
        <f>IF('Market Penetration'!K45=0,0,1000*K45*'Market Data'!$O$51/('Market Penetration'!K45*'Market Data'!$M$51))</f>
        <v>0</v>
      </c>
      <c r="AH45" s="308">
        <f>IF('Market Penetration'!L45=0,0,1000*L45*'Market Data'!$O$51/('Market Penetration'!L45*'Market Data'!$M$51))</f>
        <v>136222.25372168404</v>
      </c>
      <c r="AI45" s="309">
        <f>IF('Market Penetration'!M45=0,0,1000*M45*'Market Data'!$O$51/('Market Penetration'!M45*'Market Data'!$M$51))</f>
        <v>135711.77344698645</v>
      </c>
      <c r="AJ45" s="307">
        <f>IF('Market Penetration'!N45=0,0,1000*N45*'Market Data'!$Y$51/('Market Penetration'!N45*'Market Data'!$W$51))</f>
        <v>12351.950771496551</v>
      </c>
      <c r="AK45" s="308">
        <f>IF('Market Penetration'!O45=0,0,1000*O45*'Market Data'!$Y$51/('Market Penetration'!O45*'Market Data'!$W$51))</f>
        <v>31699.208162448303</v>
      </c>
      <c r="AL45" s="308">
        <f>IF('Market Penetration'!P45=0,0,1000*P45*'Market Data'!$Y$51/('Market Penetration'!P45*'Market Data'!$W$51))</f>
        <v>24695.974116616602</v>
      </c>
      <c r="AM45" s="542">
        <f>IF('Market Penetration'!Q45=0,0,1000*Q45*'Market Data'!$Y$51/('Market Penetration'!Q45*'Market Data'!$W$51))</f>
        <v>49073.51483985228</v>
      </c>
      <c r="AN45" s="308">
        <f>IF('Market Penetration'!R45=0,0,1000*R45*'Market Data'!$Y$51/('Market Penetration'!R45*'Market Data'!$W$51))</f>
        <v>81127.908465585759</v>
      </c>
      <c r="AO45" s="537">
        <f>IF('Market Penetration'!S45=0,0,1000*S45*'Market Data'!$Y$51/('Market Penetration'!S45*'Market Data'!$W$51))</f>
        <v>81544.430799734415</v>
      </c>
      <c r="AP45" s="307">
        <f>IF('Market Penetration'!T45=0,0,1000*T45*('Market Data'!$E$51+'Market Data'!$O$51+'Market Data'!$Y$51)/('Market Penetration'!T45*('Market Data'!$C$51+'Market Data'!$M$51+'Market Data'!$W$51)))</f>
        <v>37720.135642150599</v>
      </c>
      <c r="AQ45" s="309">
        <f>IF('Market Penetration'!U45=0,0,1000*U45*('Market Data'!$E$51+'Market Data'!$O$51+'Market Data'!$Y$51)/('Market Penetration'!U45*('Market Data'!$C$51+'Market Data'!$M$51+'Market Data'!$W$51)))</f>
        <v>81407.601359468303</v>
      </c>
    </row>
    <row r="46" spans="1:43" ht="15" x14ac:dyDescent="0.25">
      <c r="A46" s="275">
        <v>2044</v>
      </c>
      <c r="B46" s="288">
        <f t="shared" si="12"/>
        <v>2.5173433995674732E-2</v>
      </c>
      <c r="C46" s="289">
        <f>'7&amp;8 Sleep'!$M113+'7&amp;8 Sleep'!$Z113</f>
        <v>0.46567860271000716</v>
      </c>
      <c r="D46" s="289">
        <f>'7&amp;8 Sleep'!$M165+'7&amp;8 Sleep'!$Z165</f>
        <v>0.45585622418094141</v>
      </c>
      <c r="E46" s="547">
        <f>'7&amp;8 Sleep'!$M217+'7&amp;8 Sleep'!$Z217</f>
        <v>0</v>
      </c>
      <c r="F46" s="289">
        <f>'7&amp;8 Sleep'!$M270+'7&amp;8 Sleep'!$Z270</f>
        <v>4.1139579757607958E-2</v>
      </c>
      <c r="G46" s="505">
        <f>'7&amp;8 Sleep'!$M323+'7&amp;8 Sleep'!$Z323</f>
        <v>1.2152159355768714E-2</v>
      </c>
      <c r="H46" s="700">
        <f t="shared" si="13"/>
        <v>0.23238491234848402</v>
      </c>
      <c r="I46" s="505">
        <f>'7&amp;8 Day'!$M113+'7&amp;8 Day'!$Z113</f>
        <v>0.29954018940478006</v>
      </c>
      <c r="J46" s="505">
        <f>'7&amp;8 Day'!$M165+'7&amp;8 Day'!$Z165</f>
        <v>0.28610811195539576</v>
      </c>
      <c r="K46" s="505">
        <f>'7&amp;8 Day'!$M217+'7&amp;8 Day'!$Z217</f>
        <v>6.1083503673612066E-4</v>
      </c>
      <c r="L46" s="505">
        <f>'7&amp;8 Day'!$M270+'7&amp;8 Day'!$Z270</f>
        <v>8.9009174237291405E-2</v>
      </c>
      <c r="M46" s="552">
        <f>'7&amp;8 Day'!$M323+'7&amp;8 Day'!$Z323</f>
        <v>9.2346777017312698E-2</v>
      </c>
      <c r="N46" s="288">
        <f t="shared" si="14"/>
        <v>1.6313977054823514E-2</v>
      </c>
      <c r="O46" s="289">
        <f>'7&amp;8 SU'!$M113+'7&amp;8 SU'!$Z113</f>
        <v>0.39015565570308064</v>
      </c>
      <c r="P46" s="289">
        <f>'7&amp;8 SU'!$M165+'7&amp;8 SU'!$Z165</f>
        <v>0.48596096929511878</v>
      </c>
      <c r="Q46" s="547">
        <f>'7&amp;8 SU'!$M217+'7&amp;8 SU'!$Z217</f>
        <v>1.2076486954716184E-3</v>
      </c>
      <c r="R46" s="289">
        <f>'7&amp;8 SU'!$M270+'7&amp;8 SU'!$Z270</f>
        <v>5.3297685353071111E-2</v>
      </c>
      <c r="S46" s="505">
        <f>'7&amp;8 SU'!$M323+'7&amp;8 SU'!$Z323</f>
        <v>5.3064063898434329E-2</v>
      </c>
      <c r="T46" s="288">
        <f>B46*'Market Data'!$E$52+H46*'Market Data'!$O$52+N46*+N46*'Market Data'!$Y$52</f>
        <v>7.3062658468658226E-2</v>
      </c>
      <c r="U46" s="290">
        <f>SUM(C46:G46)*'Market Data'!$E$52+SUM(I46:M46)*'Market Data'!$O$52+SUM(O46:S46)*+N46*'Market Data'!$Y$52</f>
        <v>0.83872194572256609</v>
      </c>
      <c r="W46" s="275">
        <v>2044</v>
      </c>
      <c r="X46" s="307">
        <f>IF('Market Penetration'!B46=0,0,1000*B46*'Market Data'!$E$51/('Market Penetration'!B46*'Market Data'!$C$51))</f>
        <v>44473.448248827503</v>
      </c>
      <c r="Y46" s="308">
        <f>IF('Market Penetration'!C46=0,0,1000*C46*'Market Data'!$E$51/('Market Penetration'!C46*'Market Data'!$C$51))</f>
        <v>116889.38590354769</v>
      </c>
      <c r="Z46" s="308">
        <f>IF('Market Penetration'!D46=0,0,1000*D46*'Market Data'!$E$51/('Market Penetration'!D46*'Market Data'!$C$51))</f>
        <v>117761.95058290238</v>
      </c>
      <c r="AA46" s="542">
        <f>IF('Market Penetration'!E46=0,0,1000*E46*'Market Data'!$E$51/('Market Penetration'!E46*'Market Data'!$C$51))</f>
        <v>0</v>
      </c>
      <c r="AB46" s="308">
        <f>IF('Market Penetration'!F46=0,0,1000*F46*'Market Data'!$E$51/('Market Penetration'!F46*'Market Data'!$C$51))</f>
        <v>157906.88288511077</v>
      </c>
      <c r="AC46" s="537">
        <f>IF('Market Penetration'!G46=0,0,1000*G46*'Market Data'!$E$51/('Market Penetration'!G46*'Market Data'!$C$51))</f>
        <v>178300.91434097782</v>
      </c>
      <c r="AD46" s="307">
        <f>IF('Market Penetration'!H46=0,0,1000*H46*'Market Data'!$O$51/('Market Penetration'!H46*'Market Data'!$M$51))</f>
        <v>44797.207965401998</v>
      </c>
      <c r="AE46" s="308">
        <f>IF('Market Penetration'!I46=0,0,1000*I46*'Market Data'!$O$51/('Market Penetration'!I46*'Market Data'!$M$51))</f>
        <v>92449.560667183861</v>
      </c>
      <c r="AF46" s="308">
        <f>IF('Market Penetration'!J46=0,0,1000*J46*'Market Data'!$O$51/('Market Penetration'!J46*'Market Data'!$M$51))</f>
        <v>93310.908465917339</v>
      </c>
      <c r="AG46" s="308">
        <f>IF('Market Penetration'!K46=0,0,1000*K46*'Market Data'!$O$51/('Market Penetration'!K46*'Market Data'!$M$51))</f>
        <v>71074.945309880262</v>
      </c>
      <c r="AH46" s="308">
        <f>IF('Market Penetration'!L46=0,0,1000*L46*'Market Data'!$O$51/('Market Penetration'!L46*'Market Data'!$M$51))</f>
        <v>123282.75533536005</v>
      </c>
      <c r="AI46" s="309">
        <f>IF('Market Penetration'!M46=0,0,1000*M46*'Market Data'!$O$51/('Market Penetration'!M46*'Market Data'!$M$51))</f>
        <v>120669.89177684431</v>
      </c>
      <c r="AJ46" s="307">
        <f>IF('Market Penetration'!N46=0,0,1000*N46*'Market Data'!$Y$51/('Market Penetration'!N46*'Market Data'!$W$51))</f>
        <v>12356.577854617037</v>
      </c>
      <c r="AK46" s="308">
        <f>IF('Market Penetration'!O46=0,0,1000*O46*'Market Data'!$Y$51/('Market Penetration'!O46*'Market Data'!$W$51))</f>
        <v>29373.994750007838</v>
      </c>
      <c r="AL46" s="308">
        <f>IF('Market Penetration'!P46=0,0,1000*P46*'Market Data'!$Y$51/('Market Penetration'!P46*'Market Data'!$W$51))</f>
        <v>23681.914279767389</v>
      </c>
      <c r="AM46" s="542">
        <f>IF('Market Penetration'!Q46=0,0,1000*Q46*'Market Data'!$Y$51/('Market Penetration'!Q46*'Market Data'!$W$51))</f>
        <v>48643.653214452825</v>
      </c>
      <c r="AN46" s="308">
        <f>IF('Market Penetration'!R46=0,0,1000*R46*'Market Data'!$Y$51/('Market Penetration'!R46*'Market Data'!$W$51))</f>
        <v>70879.838705940128</v>
      </c>
      <c r="AO46" s="537">
        <f>IF('Market Penetration'!S46=0,0,1000*S46*'Market Data'!$Y$51/('Market Penetration'!S46*'Market Data'!$W$51))</f>
        <v>67797.629588433047</v>
      </c>
      <c r="AP46" s="307">
        <f>IF('Market Penetration'!T46=0,0,1000*T46*('Market Data'!$E$51+'Market Data'!$O$51+'Market Data'!$Y$51)/('Market Penetration'!T46*('Market Data'!$C$51+'Market Data'!$M$51+'Market Data'!$W$51)))</f>
        <v>41712.772722237845</v>
      </c>
      <c r="AQ46" s="309">
        <f>IF('Market Penetration'!U46=0,0,1000*U46*('Market Data'!$E$51+'Market Data'!$O$51+'Market Data'!$Y$51)/('Market Penetration'!U46*('Market Data'!$C$51+'Market Data'!$M$51+'Market Data'!$W$51)))</f>
        <v>79660.917105428307</v>
      </c>
    </row>
    <row r="47" spans="1:43" ht="15" x14ac:dyDescent="0.25">
      <c r="A47" s="274">
        <v>2045</v>
      </c>
      <c r="B47" s="291">
        <f t="shared" si="12"/>
        <v>2.3221957834156703E-2</v>
      </c>
      <c r="C47" s="292">
        <f>'7&amp;8 Sleep'!$M114+'7&amp;8 Sleep'!$Z114</f>
        <v>0.4119567755442699</v>
      </c>
      <c r="D47" s="292">
        <f>'7&amp;8 Sleep'!$M166+'7&amp;8 Sleep'!$Z166</f>
        <v>0.40435445929063829</v>
      </c>
      <c r="E47" s="548">
        <f>'7&amp;8 Sleep'!$M218+'7&amp;8 Sleep'!$Z218</f>
        <v>3.4788007997278063E-3</v>
      </c>
      <c r="F47" s="292">
        <f>'7&amp;8 Sleep'!$M271+'7&amp;8 Sleep'!$Z271</f>
        <v>0.10922122606915248</v>
      </c>
      <c r="G47" s="506">
        <f>'7&amp;8 Sleep'!$M324+'7&amp;8 Sleep'!$Z324</f>
        <v>4.7766780462054764E-2</v>
      </c>
      <c r="H47" s="701">
        <f t="shared" si="13"/>
        <v>0.22786392904423658</v>
      </c>
      <c r="I47" s="506">
        <f>'7&amp;8 Day'!$M114+'7&amp;8 Day'!$Z114</f>
        <v>0.26612274546414877</v>
      </c>
      <c r="J47" s="506">
        <f>'7&amp;8 Day'!$M166+'7&amp;8 Day'!$Z166</f>
        <v>0.25671840374479843</v>
      </c>
      <c r="K47" s="506">
        <f>'7&amp;8 Day'!$M218+'7&amp;8 Day'!$Z218</f>
        <v>6.9273222644462649E-3</v>
      </c>
      <c r="L47" s="506">
        <f>'7&amp;8 Day'!$M271+'7&amp;8 Day'!$Z271</f>
        <v>0.11956111091818039</v>
      </c>
      <c r="M47" s="553">
        <f>'7&amp;8 Day'!$M324+'7&amp;8 Day'!$Z324</f>
        <v>0.12280648856418946</v>
      </c>
      <c r="N47" s="291">
        <f t="shared" si="14"/>
        <v>4.2567454241034808E-3</v>
      </c>
      <c r="O47" s="292">
        <f>'7&amp;8 SU'!$M114+'7&amp;8 SU'!$Z114</f>
        <v>0.37978543126293884</v>
      </c>
      <c r="P47" s="292">
        <f>'7&amp;8 SU'!$M166+'7&amp;8 SU'!$Z166</f>
        <v>0.45785396138358014</v>
      </c>
      <c r="Q47" s="548">
        <f>'7&amp;8 SU'!$M218+'7&amp;8 SU'!$Z218</f>
        <v>8.2581780433668168E-3</v>
      </c>
      <c r="R47" s="292">
        <f>'7&amp;8 SU'!$M271+'7&amp;8 SU'!$Z271</f>
        <v>7.2605153142390605E-2</v>
      </c>
      <c r="S47" s="506">
        <f>'7&amp;8 SU'!$M324+'7&amp;8 SU'!$Z324</f>
        <v>7.7240530743620167E-2</v>
      </c>
      <c r="T47" s="291">
        <f>B47*'Market Data'!$E$52+H47*'Market Data'!$O$52+N47*+N47*'Market Data'!$Y$52</f>
        <v>7.0642400899412913E-2</v>
      </c>
      <c r="U47" s="293">
        <f>SUM(C47:G47)*'Market Data'!$E$52+SUM(I47:M47)*'Market Data'!$O$52+SUM(O47:S47)*+N47*'Market Data'!$Y$52</f>
        <v>0.84006092996287096</v>
      </c>
      <c r="W47" s="274">
        <v>2045</v>
      </c>
      <c r="X47" s="310">
        <f>IF('Market Penetration'!B47=0,0,1000*B47*'Market Data'!$E$51/('Market Penetration'!B47*'Market Data'!$C$51))</f>
        <v>42996.117177488355</v>
      </c>
      <c r="Y47" s="311">
        <f>IF('Market Penetration'!C47=0,0,1000*C47*'Market Data'!$E$51/('Market Penetration'!C47*'Market Data'!$C$51))</f>
        <v>115098.0915970589</v>
      </c>
      <c r="Z47" s="311">
        <f>IF('Market Penetration'!D47=0,0,1000*D47*'Market Data'!$E$51/('Market Penetration'!D47*'Market Data'!$C$51))</f>
        <v>115876.71159359129</v>
      </c>
      <c r="AA47" s="543">
        <f>IF('Market Penetration'!E47=0,0,1000*E47*'Market Data'!$E$51/('Market Penetration'!E47*'Market Data'!$C$51))</f>
        <v>123920.56908606578</v>
      </c>
      <c r="AB47" s="311">
        <f>IF('Market Penetration'!F47=0,0,1000*F47*'Market Data'!$E$51/('Market Penetration'!F47*'Market Data'!$C$51))</f>
        <v>139363.27651201098</v>
      </c>
      <c r="AC47" s="538">
        <f>IF('Market Penetration'!G47=0,0,1000*G47*'Market Data'!$E$51/('Market Penetration'!G47*'Market Data'!$C$51))</f>
        <v>145163.15392084443</v>
      </c>
      <c r="AD47" s="310">
        <f>IF('Market Penetration'!H47=0,0,1000*H47*'Market Data'!$O$51/('Market Penetration'!H47*'Market Data'!$M$51))</f>
        <v>44585.121195618027</v>
      </c>
      <c r="AE47" s="311">
        <f>IF('Market Penetration'!I47=0,0,1000*I47*'Market Data'!$O$51/('Market Penetration'!I47*'Market Data'!$M$51))</f>
        <v>92522.477398086485</v>
      </c>
      <c r="AF47" s="311">
        <f>IF('Market Penetration'!J47=0,0,1000*J47*'Market Data'!$O$51/('Market Penetration'!J47*'Market Data'!$M$51))</f>
        <v>93008.355082731985</v>
      </c>
      <c r="AG47" s="311">
        <f>IF('Market Penetration'!K47=0,0,1000*K47*'Market Data'!$O$51/('Market Penetration'!K47*'Market Data'!$M$51))</f>
        <v>68410.871694249028</v>
      </c>
      <c r="AH47" s="311">
        <f>IF('Market Penetration'!L47=0,0,1000*L47*'Market Data'!$O$51/('Market Penetration'!L47*'Market Data'!$M$51))</f>
        <v>115018.61622621147</v>
      </c>
      <c r="AI47" s="312">
        <f>IF('Market Penetration'!M47=0,0,1000*M47*'Market Data'!$O$51/('Market Penetration'!M47*'Market Data'!$M$51))</f>
        <v>111480.86502495995</v>
      </c>
      <c r="AJ47" s="310">
        <f>IF('Market Penetration'!N47=0,0,1000*N47*'Market Data'!$Y$51/('Market Penetration'!N47*'Market Data'!$W$51))</f>
        <v>12910.450282893882</v>
      </c>
      <c r="AK47" s="311">
        <f>IF('Market Penetration'!O47=0,0,1000*O47*'Market Data'!$Y$51/('Market Penetration'!O47*'Market Data'!$W$51))</f>
        <v>27589.724485974588</v>
      </c>
      <c r="AL47" s="311">
        <f>IF('Market Penetration'!P47=0,0,1000*P47*'Market Data'!$Y$51/('Market Penetration'!P47*'Market Data'!$W$51))</f>
        <v>23141.959616224634</v>
      </c>
      <c r="AM47" s="543">
        <f>IF('Market Penetration'!Q47=0,0,1000*Q47*'Market Data'!$Y$51/('Market Penetration'!Q47*'Market Data'!$W$51))</f>
        <v>46137.49941945466</v>
      </c>
      <c r="AN47" s="311">
        <f>IF('Market Penetration'!R47=0,0,1000*R47*'Market Data'!$Y$51/('Market Penetration'!R47*'Market Data'!$W$51))</f>
        <v>59990.880238302911</v>
      </c>
      <c r="AO47" s="538">
        <f>IF('Market Penetration'!S47=0,0,1000*S47*'Market Data'!$Y$51/('Market Penetration'!S47*'Market Data'!$W$51))</f>
        <v>54649.106875906116</v>
      </c>
      <c r="AP47" s="310">
        <f>IF('Market Penetration'!T47=0,0,1000*T47*('Market Data'!$E$51+'Market Data'!$O$51+'Market Data'!$Y$51)/('Market Penetration'!T47*('Market Data'!$C$51+'Market Data'!$M$51+'Market Data'!$W$51)))</f>
        <v>43423.155649751046</v>
      </c>
      <c r="AQ47" s="312">
        <f>IF('Market Penetration'!U47=0,0,1000*U47*('Market Data'!$E$51+'Market Data'!$O$51+'Market Data'!$Y$51)/('Market Penetration'!U47*('Market Data'!$C$51+'Market Data'!$M$51+'Market Data'!$W$51)))</f>
        <v>78853.942780689365</v>
      </c>
    </row>
    <row r="48" spans="1:43" ht="15" x14ac:dyDescent="0.25">
      <c r="A48" s="275">
        <v>2046</v>
      </c>
      <c r="B48" s="295">
        <f t="shared" si="12"/>
        <v>2.6011487733664684E-2</v>
      </c>
      <c r="C48" s="296">
        <f>'7&amp;8 Sleep'!$M115+'7&amp;8 Sleep'!$Z115</f>
        <v>0.35743185980404829</v>
      </c>
      <c r="D48" s="296">
        <f>'7&amp;8 Sleep'!$M167+'7&amp;8 Sleep'!$Z167</f>
        <v>0.35197696685772334</v>
      </c>
      <c r="E48" s="549">
        <f>'7&amp;8 Sleep'!$M219+'7&amp;8 Sleep'!$Z219</f>
        <v>2.3300017861835547E-2</v>
      </c>
      <c r="F48" s="296">
        <f>'7&amp;8 Sleep'!$M272+'7&amp;8 Sleep'!$Z272</f>
        <v>0.15526490402896814</v>
      </c>
      <c r="G48" s="507">
        <f>'7&amp;8 Sleep'!$M325+'7&amp;8 Sleep'!$Z325</f>
        <v>8.6014763713759948E-2</v>
      </c>
      <c r="H48" s="702">
        <f t="shared" si="13"/>
        <v>0.2278512109109746</v>
      </c>
      <c r="I48" s="507">
        <f>'7&amp;8 Day'!$M115+'7&amp;8 Day'!$Z115</f>
        <v>0.24206662697571102</v>
      </c>
      <c r="J48" s="507">
        <f>'7&amp;8 Day'!$M167+'7&amp;8 Day'!$Z167</f>
        <v>0.23582715141557994</v>
      </c>
      <c r="K48" s="507">
        <f>'7&amp;8 Day'!$M219+'7&amp;8 Day'!$Z219</f>
        <v>1.7026674640195631E-2</v>
      </c>
      <c r="L48" s="507">
        <f>'7&amp;8 Day'!$M272+'7&amp;8 Day'!$Z272</f>
        <v>0.13574671059857257</v>
      </c>
      <c r="M48" s="554">
        <f>'7&amp;8 Day'!$M325+'7&amp;8 Day'!$Z325</f>
        <v>0.14148162545896623</v>
      </c>
      <c r="N48" s="295">
        <f t="shared" si="14"/>
        <v>3.5266352452656413E-4</v>
      </c>
      <c r="O48" s="296">
        <f>'7&amp;8 SU'!$M115+'7&amp;8 SU'!$Z115</f>
        <v>0.36007778280221364</v>
      </c>
      <c r="P48" s="296">
        <f>'7&amp;8 SU'!$M167+'7&amp;8 SU'!$Z167</f>
        <v>0.42570187815730248</v>
      </c>
      <c r="Q48" s="549">
        <f>'7&amp;8 SU'!$M219+'7&amp;8 SU'!$Z219</f>
        <v>2.2761251670095035E-2</v>
      </c>
      <c r="R48" s="296">
        <f>'7&amp;8 SU'!$M272+'7&amp;8 SU'!$Z272</f>
        <v>9.1560008070167995E-2</v>
      </c>
      <c r="S48" s="507">
        <f>'7&amp;8 SU'!$M325+'7&amp;8 SU'!$Z325</f>
        <v>9.9546415775694341E-2</v>
      </c>
      <c r="T48" s="298">
        <f>B48*'Market Data'!$E$52+H48*'Market Data'!$O$52+N48*+N48*'Market Data'!$Y$52</f>
        <v>7.2502314043931565E-2</v>
      </c>
      <c r="U48" s="299">
        <f>SUM(C48:G48)*'Market Data'!$E$52+SUM(I48:M48)*'Market Data'!$O$52+SUM(O48:S48)*+N48*'Market Data'!$Y$52</f>
        <v>0.83785090497167802</v>
      </c>
      <c r="W48" s="275">
        <v>2046</v>
      </c>
      <c r="X48" s="313">
        <f>IF('Market Penetration'!B48=0,0,1000*B48*'Market Data'!$E$51/('Market Penetration'!B48*'Market Data'!$C$51))</f>
        <v>45746.753507473106</v>
      </c>
      <c r="Y48" s="314">
        <f>IF('Market Penetration'!C48=0,0,1000*C48*'Market Data'!$E$51/('Market Penetration'!C48*'Market Data'!$C$51))</f>
        <v>114509.69056222431</v>
      </c>
      <c r="Z48" s="314">
        <f>IF('Market Penetration'!D48=0,0,1000*D48*'Market Data'!$E$51/('Market Penetration'!D48*'Market Data'!$C$51))</f>
        <v>115181.85401554868</v>
      </c>
      <c r="AA48" s="544">
        <f>IF('Market Penetration'!E48=0,0,1000*E48*'Market Data'!$E$51/('Market Penetration'!E48*'Market Data'!$C$51))</f>
        <v>119919.35876666516</v>
      </c>
      <c r="AB48" s="314">
        <f>IF('Market Penetration'!F48=0,0,1000*F48*'Market Data'!$E$51/('Market Penetration'!F48*'Market Data'!$C$51))</f>
        <v>132370.19577215976</v>
      </c>
      <c r="AC48" s="539">
        <f>IF('Market Penetration'!G48=0,0,1000*G48*'Market Data'!$E$51/('Market Penetration'!G48*'Market Data'!$C$51))</f>
        <v>135128.83143307321</v>
      </c>
      <c r="AD48" s="313">
        <f>IF('Market Penetration'!H48=0,0,1000*H48*'Market Data'!$O$51/('Market Penetration'!H48*'Market Data'!$M$51))</f>
        <v>44679.726437907011</v>
      </c>
      <c r="AE48" s="314">
        <f>IF('Market Penetration'!I48=0,0,1000*I48*'Market Data'!$O$51/('Market Penetration'!I48*'Market Data'!$M$51))</f>
        <v>94089.059750534463</v>
      </c>
      <c r="AF48" s="314">
        <f>IF('Market Penetration'!J48=0,0,1000*J48*'Market Data'!$O$51/('Market Penetration'!J48*'Market Data'!$M$51))</f>
        <v>94076.685648532526</v>
      </c>
      <c r="AG48" s="314">
        <f>IF('Market Penetration'!K48=0,0,1000*K48*'Market Data'!$O$51/('Market Penetration'!K48*'Market Data'!$M$51))</f>
        <v>65051.453610753211</v>
      </c>
      <c r="AH48" s="314">
        <f>IF('Market Penetration'!L48=0,0,1000*L48*'Market Data'!$O$51/('Market Penetration'!L48*'Market Data'!$M$51))</f>
        <v>111271.48764570827</v>
      </c>
      <c r="AI48" s="707">
        <f>IF('Market Penetration'!M48=0,0,1000*M48*'Market Data'!$O$51/('Market Penetration'!M48*'Market Data'!$M$51))</f>
        <v>106479.11245689877</v>
      </c>
      <c r="AJ48" s="313">
        <f>IF('Market Penetration'!N48=0,0,1000*N48*'Market Data'!$Y$51/('Market Penetration'!N48*'Market Data'!$W$51))</f>
        <v>27261.021505222652</v>
      </c>
      <c r="AK48" s="314">
        <f>IF('Market Penetration'!O48=0,0,1000*O48*'Market Data'!$Y$51/('Market Penetration'!O48*'Market Data'!$W$51))</f>
        <v>26570.027484036724</v>
      </c>
      <c r="AL48" s="314">
        <f>IF('Market Penetration'!P48=0,0,1000*P48*'Market Data'!$Y$51/('Market Penetration'!P48*'Market Data'!$W$51))</f>
        <v>22705.514450277111</v>
      </c>
      <c r="AM48" s="544">
        <f>IF('Market Penetration'!Q48=0,0,1000*Q48*'Market Data'!$Y$51/('Market Penetration'!Q48*'Market Data'!$W$51))</f>
        <v>39811.527120182473</v>
      </c>
      <c r="AN48" s="314">
        <f>IF('Market Penetration'!R48=0,0,1000*R48*'Market Data'!$Y$51/('Market Penetration'!R48*'Market Data'!$W$51))</f>
        <v>52681.199029867603</v>
      </c>
      <c r="AO48" s="539">
        <f>IF('Market Penetration'!S48=0,0,1000*S48*'Market Data'!$Y$51/('Market Penetration'!S48*'Market Data'!$W$51))</f>
        <v>48349.630812911797</v>
      </c>
      <c r="AP48" s="315">
        <f>IF('Market Penetration'!T48=0,0,1000*T48*('Market Data'!$E$51+'Market Data'!$O$51+'Market Data'!$Y$51)/('Market Penetration'!T48*('Market Data'!$C$51+'Market Data'!$M$51+'Market Data'!$W$51)))</f>
        <v>44898.775222435666</v>
      </c>
      <c r="AQ48" s="316">
        <f>IF('Market Penetration'!U48=0,0,1000*U48*('Market Data'!$E$51+'Market Data'!$O$51+'Market Data'!$Y$51)/('Market Penetration'!U48*('Market Data'!$C$51+'Market Data'!$M$51+'Market Data'!$W$51)))</f>
        <v>78557.695774730484</v>
      </c>
    </row>
    <row r="49" spans="1:43" ht="15" x14ac:dyDescent="0.25">
      <c r="A49" s="275">
        <v>2047</v>
      </c>
      <c r="B49" s="288">
        <f t="shared" si="12"/>
        <v>2.4178032585323472E-2</v>
      </c>
      <c r="C49" s="289">
        <f>'7&amp;8 Sleep'!$M116+'7&amp;8 Sleep'!$Z116</f>
        <v>0.31742961807931613</v>
      </c>
      <c r="D49" s="289">
        <f>'7&amp;8 Sleep'!$M168+'7&amp;8 Sleep'!$Z168</f>
        <v>0.31269011220676346</v>
      </c>
      <c r="E49" s="547">
        <f>'7&amp;8 Sleep'!$M220+'7&amp;8 Sleep'!$Z220</f>
        <v>5.0777699583335417E-2</v>
      </c>
      <c r="F49" s="289">
        <f>'7&amp;8 Sleep'!$M273+'7&amp;8 Sleep'!$Z273</f>
        <v>0.18184561070190111</v>
      </c>
      <c r="G49" s="505">
        <f>'7&amp;8 Sleep'!$M326+'7&amp;8 Sleep'!$Z326</f>
        <v>0.11307892684336036</v>
      </c>
      <c r="H49" s="700">
        <f t="shared" si="13"/>
        <v>0.22618805892971405</v>
      </c>
      <c r="I49" s="505">
        <f>'7&amp;8 Day'!$M116+'7&amp;8 Day'!$Z116</f>
        <v>0.22496042122445781</v>
      </c>
      <c r="J49" s="505">
        <f>'7&amp;8 Day'!$M168+'7&amp;8 Day'!$Z168</f>
        <v>0.22006281486833193</v>
      </c>
      <c r="K49" s="505">
        <f>'7&amp;8 Day'!$M220+'7&amp;8 Day'!$Z220</f>
        <v>2.6020346888965692E-2</v>
      </c>
      <c r="L49" s="505">
        <f>'7&amp;8 Day'!$M273+'7&amp;8 Day'!$Z273</f>
        <v>0.14893268790399311</v>
      </c>
      <c r="M49" s="552">
        <f>'7&amp;8 Day'!$M326+'7&amp;8 Day'!$Z326</f>
        <v>0.15383567018453739</v>
      </c>
      <c r="N49" s="288">
        <f t="shared" si="14"/>
        <v>1.5211859031061259E-4</v>
      </c>
      <c r="O49" s="289">
        <f>'7&amp;8 SU'!$M116+'7&amp;8 SU'!$Z116</f>
        <v>0.33743895172257887</v>
      </c>
      <c r="P49" s="289">
        <f>'7&amp;8 SU'!$M168+'7&amp;8 SU'!$Z168</f>
        <v>0.38946136059668357</v>
      </c>
      <c r="Q49" s="547">
        <f>'7&amp;8 SU'!$M220+'7&amp;8 SU'!$Z220</f>
        <v>4.6514634572846075E-2</v>
      </c>
      <c r="R49" s="289">
        <f>'7&amp;8 SU'!$M273+'7&amp;8 SU'!$Z273</f>
        <v>0.10995398407579141</v>
      </c>
      <c r="S49" s="505">
        <f>'7&amp;8 SU'!$M326+'7&amp;8 SU'!$Z326</f>
        <v>0.11647895044178949</v>
      </c>
      <c r="T49" s="288">
        <f>B49*'Market Data'!$E$52+H49*'Market Data'!$O$52+N49*+N49*'Market Data'!$Y$52</f>
        <v>7.0874466187288862E-2</v>
      </c>
      <c r="U49" s="290">
        <f>SUM(C49:G49)*'Market Data'!$E$52+SUM(I49:M49)*'Market Data'!$O$52+SUM(O49:S49)*+N49*'Market Data'!$Y$52</f>
        <v>0.83946076827803062</v>
      </c>
      <c r="W49" s="275">
        <v>2047</v>
      </c>
      <c r="X49" s="307">
        <f>IF('Market Penetration'!B49=0,0,1000*B49*'Market Data'!$E$51/('Market Penetration'!B49*'Market Data'!$C$51))</f>
        <v>44110.046012720341</v>
      </c>
      <c r="Y49" s="308">
        <f>IF('Market Penetration'!C49=0,0,1000*C49*'Market Data'!$E$51/('Market Penetration'!C49*'Market Data'!$C$51))</f>
        <v>114551.30747147123</v>
      </c>
      <c r="Z49" s="308">
        <f>IF('Market Penetration'!D49=0,0,1000*D49*'Market Data'!$E$51/('Market Penetration'!D49*'Market Data'!$C$51))</f>
        <v>115154.92240465642</v>
      </c>
      <c r="AA49" s="542">
        <f>IF('Market Penetration'!E49=0,0,1000*E49*'Market Data'!$E$51/('Market Penetration'!E49*'Market Data'!$C$51))</f>
        <v>116486.41375472123</v>
      </c>
      <c r="AB49" s="308">
        <f>IF('Market Penetration'!F49=0,0,1000*F49*'Market Data'!$E$51/('Market Penetration'!F49*'Market Data'!$C$51))</f>
        <v>128496.23362312741</v>
      </c>
      <c r="AC49" s="537">
        <f>IF('Market Penetration'!G49=0,0,1000*G49*'Market Data'!$E$51/('Market Penetration'!G49*'Market Data'!$C$51))</f>
        <v>130884.00158388681</v>
      </c>
      <c r="AD49" s="307">
        <f>IF('Market Penetration'!H49=0,0,1000*H49*'Market Data'!$O$51/('Market Penetration'!H49*'Market Data'!$M$51))</f>
        <v>44660.464876358543</v>
      </c>
      <c r="AE49" s="308">
        <f>IF('Market Penetration'!I49=0,0,1000*I49*'Market Data'!$O$51/('Market Penetration'!I49*'Market Data'!$M$51))</f>
        <v>95619.449633494776</v>
      </c>
      <c r="AF49" s="308">
        <f>IF('Market Penetration'!J49=0,0,1000*J49*'Market Data'!$O$51/('Market Penetration'!J49*'Market Data'!$M$51))</f>
        <v>95565.453288145407</v>
      </c>
      <c r="AG49" s="308">
        <f>IF('Market Penetration'!K49=0,0,1000*K49*'Market Data'!$O$51/('Market Penetration'!K49*'Market Data'!$M$51))</f>
        <v>62796.956818521969</v>
      </c>
      <c r="AH49" s="308">
        <f>IF('Market Penetration'!L49=0,0,1000*L49*'Market Data'!$O$51/('Market Penetration'!L49*'Market Data'!$M$51))</f>
        <v>108374.04370672761</v>
      </c>
      <c r="AI49" s="309">
        <f>IF('Market Penetration'!M49=0,0,1000*M49*'Market Data'!$O$51/('Market Penetration'!M49*'Market Data'!$M$51))</f>
        <v>103876.33467583742</v>
      </c>
      <c r="AJ49" s="307">
        <f>IF('Market Penetration'!N49=0,0,1000*N49*'Market Data'!$Y$51/('Market Penetration'!N49*'Market Data'!$W$51))</f>
        <v>27261.021505265177</v>
      </c>
      <c r="AK49" s="308">
        <f>IF('Market Penetration'!O49=0,0,1000*O49*'Market Data'!$Y$51/('Market Penetration'!O49*'Market Data'!$W$51))</f>
        <v>25648.761517618019</v>
      </c>
      <c r="AL49" s="308">
        <f>IF('Market Penetration'!P49=0,0,1000*P49*'Market Data'!$Y$51/('Market Penetration'!P49*'Market Data'!$W$51))</f>
        <v>22422.514870941744</v>
      </c>
      <c r="AM49" s="542">
        <f>IF('Market Penetration'!Q49=0,0,1000*Q49*'Market Data'!$Y$51/('Market Penetration'!Q49*'Market Data'!$W$51))</f>
        <v>36014.603878748072</v>
      </c>
      <c r="AN49" s="308">
        <f>IF('Market Penetration'!R49=0,0,1000*R49*'Market Data'!$Y$51/('Market Penetration'!R49*'Market Data'!$W$51))</f>
        <v>48115.213336510365</v>
      </c>
      <c r="AO49" s="537">
        <f>IF('Market Penetration'!S49=0,0,1000*S49*'Market Data'!$Y$51/('Market Penetration'!S49*'Market Data'!$W$51))</f>
        <v>45239.823267209867</v>
      </c>
      <c r="AP49" s="307">
        <f>IF('Market Penetration'!T49=0,0,1000*T49*('Market Data'!$E$51+'Market Data'!$O$51+'Market Data'!$Y$51)/('Market Penetration'!T49*('Market Data'!$C$51+'Market Data'!$M$51+'Market Data'!$W$51)))</f>
        <v>44519.751658217254</v>
      </c>
      <c r="AQ49" s="309">
        <f>IF('Market Penetration'!U49=0,0,1000*U49*('Market Data'!$E$51+'Market Data'!$O$51+'Market Data'!$Y$51)/('Market Penetration'!U49*('Market Data'!$C$51+'Market Data'!$M$51+'Market Data'!$W$51)))</f>
        <v>78540.613497269369</v>
      </c>
    </row>
    <row r="50" spans="1:43" ht="15" x14ac:dyDescent="0.25">
      <c r="A50" s="275">
        <v>2048</v>
      </c>
      <c r="B50" s="288">
        <f t="shared" si="12"/>
        <v>2.3923874320401439E-2</v>
      </c>
      <c r="C50" s="289">
        <f>'7&amp;8 Sleep'!$M117+'7&amp;8 Sleep'!$Z117</f>
        <v>0.29173425202643172</v>
      </c>
      <c r="D50" s="289">
        <f>'7&amp;8 Sleep'!$M169+'7&amp;8 Sleep'!$Z169</f>
        <v>0.28772388880362959</v>
      </c>
      <c r="E50" s="547">
        <f>'7&amp;8 Sleep'!$M221+'7&amp;8 Sleep'!$Z221</f>
        <v>7.0361311691701789E-2</v>
      </c>
      <c r="F50" s="289">
        <f>'7&amp;8 Sleep'!$M274+'7&amp;8 Sleep'!$Z274</f>
        <v>0.19800156848283693</v>
      </c>
      <c r="G50" s="505">
        <f>'7&amp;8 Sleep'!$M327+'7&amp;8 Sleep'!$Z327</f>
        <v>0.12825510467499859</v>
      </c>
      <c r="H50" s="700">
        <f t="shared" si="13"/>
        <v>0.22348106310591298</v>
      </c>
      <c r="I50" s="505">
        <f>'7&amp;8 Day'!$M117+'7&amp;8 Day'!$Z117</f>
        <v>0.21580510208742038</v>
      </c>
      <c r="J50" s="505">
        <f>'7&amp;8 Day'!$M169+'7&amp;8 Day'!$Z169</f>
        <v>0.21159699485908096</v>
      </c>
      <c r="K50" s="505">
        <f>'7&amp;8 Day'!$M221+'7&amp;8 Day'!$Z221</f>
        <v>3.1890106762126641E-2</v>
      </c>
      <c r="L50" s="505">
        <f>'7&amp;8 Day'!$M274+'7&amp;8 Day'!$Z274</f>
        <v>0.15661049211335576</v>
      </c>
      <c r="M50" s="552">
        <f>'7&amp;8 Day'!$M327+'7&amp;8 Day'!$Z327</f>
        <v>0.16061624107210332</v>
      </c>
      <c r="N50" s="288">
        <f t="shared" si="14"/>
        <v>5.6101307341127615E-5</v>
      </c>
      <c r="O50" s="289">
        <f>'7&amp;8 SU'!$M117+'7&amp;8 SU'!$Z117</f>
        <v>0.32027583494602962</v>
      </c>
      <c r="P50" s="289">
        <f>'7&amp;8 SU'!$M169+'7&amp;8 SU'!$Z169</f>
        <v>0.36414731883878126</v>
      </c>
      <c r="Q50" s="547">
        <f>'7&amp;8 SU'!$M221+'7&amp;8 SU'!$Z221</f>
        <v>6.662081670354178E-2</v>
      </c>
      <c r="R50" s="289">
        <f>'7&amp;8 SU'!$M274+'7&amp;8 SU'!$Z274</f>
        <v>0.12355191414672689</v>
      </c>
      <c r="S50" s="505">
        <f>'7&amp;8 SU'!$M327+'7&amp;8 SU'!$Z327</f>
        <v>0.12534801405757925</v>
      </c>
      <c r="T50" s="288">
        <f>B50*'Market Data'!$E$52+H50*'Market Data'!$O$52+N50*+N50*'Market Data'!$Y$52</f>
        <v>7.0049776008895864E-2</v>
      </c>
      <c r="U50" s="290">
        <f>SUM(C50:G50)*'Market Data'!$E$52+SUM(I50:M50)*'Market Data'!$O$52+SUM(O50:S50)*+N50*'Market Data'!$Y$52</f>
        <v>0.8402768477794148</v>
      </c>
      <c r="W50" s="275">
        <v>2048</v>
      </c>
      <c r="X50" s="307">
        <f>IF('Market Penetration'!B50=0,0,1000*B50*'Market Data'!$E$51/('Market Penetration'!B50*'Market Data'!$C$51))</f>
        <v>43928.37430236311</v>
      </c>
      <c r="Y50" s="308">
        <f>IF('Market Penetration'!C50=0,0,1000*C50*'Market Data'!$E$51/('Market Penetration'!C50*'Market Data'!$C$51))</f>
        <v>115137.6507128447</v>
      </c>
      <c r="Z50" s="308">
        <f>IF('Market Penetration'!D50=0,0,1000*D50*'Market Data'!$E$51/('Market Penetration'!D50*'Market Data'!$C$51))</f>
        <v>115628.70867801469</v>
      </c>
      <c r="AA50" s="542">
        <f>IF('Market Penetration'!E50=0,0,1000*E50*'Market Data'!$E$51/('Market Penetration'!E50*'Market Data'!$C$51))</f>
        <v>114306.68688659731</v>
      </c>
      <c r="AB50" s="308">
        <f>IF('Market Penetration'!F50=0,0,1000*F50*'Market Data'!$E$51/('Market Penetration'!F50*'Market Data'!$C$51))</f>
        <v>125935.42902063557</v>
      </c>
      <c r="AC50" s="537">
        <f>IF('Market Penetration'!G50=0,0,1000*G50*'Market Data'!$E$51/('Market Penetration'!G50*'Market Data'!$C$51))</f>
        <v>128885.88197313319</v>
      </c>
      <c r="AD50" s="307">
        <f>IF('Market Penetration'!H50=0,0,1000*H50*'Market Data'!$O$51/('Market Penetration'!H50*'Market Data'!$M$51))</f>
        <v>44493.157449178521</v>
      </c>
      <c r="AE50" s="308">
        <f>IF('Market Penetration'!I50=0,0,1000*I50*'Market Data'!$O$51/('Market Penetration'!I50*'Market Data'!$M$51))</f>
        <v>97028.03337186102</v>
      </c>
      <c r="AF50" s="308">
        <f>IF('Market Penetration'!J50=0,0,1000*J50*'Market Data'!$O$51/('Market Penetration'!J50*'Market Data'!$M$51))</f>
        <v>96801.886913136201</v>
      </c>
      <c r="AG50" s="308">
        <f>IF('Market Penetration'!K50=0,0,1000*K50*'Market Data'!$O$51/('Market Penetration'!K50*'Market Data'!$M$51))</f>
        <v>61097.998172914413</v>
      </c>
      <c r="AH50" s="308">
        <f>IF('Market Penetration'!L50=0,0,1000*L50*'Market Data'!$O$51/('Market Penetration'!L50*'Market Data'!$M$51))</f>
        <v>106502.26322486361</v>
      </c>
      <c r="AI50" s="309">
        <f>IF('Market Penetration'!M50=0,0,1000*M50*'Market Data'!$O$51/('Market Penetration'!M50*'Market Data'!$M$51))</f>
        <v>102676.79636365331</v>
      </c>
      <c r="AJ50" s="307">
        <f>IF('Market Penetration'!N50=0,0,1000*N50*'Market Data'!$Y$51/('Market Penetration'!N50*'Market Data'!$W$51))</f>
        <v>27261.021505313387</v>
      </c>
      <c r="AK50" s="308">
        <f>IF('Market Penetration'!O50=0,0,1000*O50*'Market Data'!$Y$51/('Market Penetration'!O50*'Market Data'!$W$51))</f>
        <v>24949.488358397237</v>
      </c>
      <c r="AL50" s="308">
        <f>IF('Market Penetration'!P50=0,0,1000*P50*'Market Data'!$Y$51/('Market Penetration'!P50*'Market Data'!$W$51))</f>
        <v>22242.8884258711</v>
      </c>
      <c r="AM50" s="542">
        <f>IF('Market Penetration'!Q50=0,0,1000*Q50*'Market Data'!$Y$51/('Market Penetration'!Q50*'Market Data'!$W$51))</f>
        <v>34607.037943534764</v>
      </c>
      <c r="AN50" s="308">
        <f>IF('Market Penetration'!R50=0,0,1000*R50*'Market Data'!$Y$51/('Market Penetration'!R50*'Market Data'!$W$51))</f>
        <v>45696.728638314598</v>
      </c>
      <c r="AO50" s="537">
        <f>IF('Market Penetration'!S50=0,0,1000*S50*'Market Data'!$Y$51/('Market Penetration'!S50*'Market Data'!$W$51))</f>
        <v>44087.30847157367</v>
      </c>
      <c r="AP50" s="307">
        <f>IF('Market Penetration'!T50=0,0,1000*T50*('Market Data'!$E$51+'Market Data'!$O$51+'Market Data'!$Y$51)/('Market Penetration'!T50*('Market Data'!$C$51+'Market Data'!$M$51+'Market Data'!$W$51)))</f>
        <v>44357.765320074672</v>
      </c>
      <c r="AQ50" s="309">
        <f>IF('Market Penetration'!U50=0,0,1000*U50*('Market Data'!$E$51+'Market Data'!$O$51+'Market Data'!$Y$51)/('Market Penetration'!U50*('Market Data'!$C$51+'Market Data'!$M$51+'Market Data'!$W$51)))</f>
        <v>78523.08931504481</v>
      </c>
    </row>
    <row r="51" spans="1:43" ht="15" x14ac:dyDescent="0.25">
      <c r="A51" s="275">
        <v>2049</v>
      </c>
      <c r="B51" s="288">
        <f t="shared" si="12"/>
        <v>2.4108319197644335E-2</v>
      </c>
      <c r="C51" s="289">
        <f>'7&amp;8 Sleep'!$M118+'7&amp;8 Sleep'!$Z118</f>
        <v>0.2771162224919731</v>
      </c>
      <c r="D51" s="289">
        <f>'7&amp;8 Sleep'!$M170+'7&amp;8 Sleep'!$Z170</f>
        <v>0.27349634873972861</v>
      </c>
      <c r="E51" s="547">
        <f>'7&amp;8 Sleep'!$M222+'7&amp;8 Sleep'!$Z222</f>
        <v>8.447223610967608E-2</v>
      </c>
      <c r="F51" s="289">
        <f>'7&amp;8 Sleep'!$M275+'7&amp;8 Sleep'!$Z275</f>
        <v>0.2062498903290523</v>
      </c>
      <c r="G51" s="505">
        <f>'7&amp;8 Sleep'!$M328+'7&amp;8 Sleep'!$Z328</f>
        <v>0.1345569831319256</v>
      </c>
      <c r="H51" s="700">
        <f t="shared" si="13"/>
        <v>0.21838751312462901</v>
      </c>
      <c r="I51" s="505">
        <f>'7&amp;8 Day'!$M118+'7&amp;8 Day'!$Z118</f>
        <v>0.21129351104781655</v>
      </c>
      <c r="J51" s="505">
        <f>'7&amp;8 Day'!$M170+'7&amp;8 Day'!$Z170</f>
        <v>0.20791329272088799</v>
      </c>
      <c r="K51" s="505">
        <f>'7&amp;8 Day'!$M222+'7&amp;8 Day'!$Z222</f>
        <v>3.5628102595303253E-2</v>
      </c>
      <c r="L51" s="505">
        <f>'7&amp;8 Day'!$M275+'7&amp;8 Day'!$Z275</f>
        <v>0.16225196058928842</v>
      </c>
      <c r="M51" s="552">
        <f>'7&amp;8 Day'!$M328+'7&amp;8 Day'!$Z328</f>
        <v>0.16452561992207471</v>
      </c>
      <c r="N51" s="288">
        <f t="shared" si="14"/>
        <v>1.5771251162144395E-5</v>
      </c>
      <c r="O51" s="289">
        <f>'7&amp;8 SU'!$M118+'7&amp;8 SU'!$Z118</f>
        <v>0.30706094503337122</v>
      </c>
      <c r="P51" s="289">
        <f>'7&amp;8 SU'!$M170+'7&amp;8 SU'!$Z170</f>
        <v>0.3471600554358768</v>
      </c>
      <c r="Q51" s="547">
        <f>'7&amp;8 SU'!$M222+'7&amp;8 SU'!$Z222</f>
        <v>8.3207902991874083E-2</v>
      </c>
      <c r="R51" s="289">
        <f>'7&amp;8 SU'!$M275+'7&amp;8 SU'!$Z275</f>
        <v>0.1326530812266373</v>
      </c>
      <c r="S51" s="505">
        <f>'7&amp;8 SU'!$M328+'7&amp;8 SU'!$Z328</f>
        <v>0.12990224406107836</v>
      </c>
      <c r="T51" s="288">
        <f>B51*'Market Data'!$E$52+H51*'Market Data'!$O$52+N51*+N51*'Market Data'!$Y$52</f>
        <v>6.8940973350289411E-2</v>
      </c>
      <c r="U51" s="290">
        <f>SUM(C51:G51)*'Market Data'!$E$52+SUM(I51:M51)*'Market Data'!$O$52+SUM(O51:S51)*+N51*'Market Data'!$Y$52</f>
        <v>0.84138203370281739</v>
      </c>
      <c r="W51" s="275">
        <v>2049</v>
      </c>
      <c r="X51" s="307">
        <f>IF('Market Penetration'!B51=0,0,1000*B51*'Market Data'!$E$51/('Market Penetration'!B51*'Market Data'!$C$51))</f>
        <v>44141.379616753176</v>
      </c>
      <c r="Y51" s="308">
        <f>IF('Market Penetration'!C51=0,0,1000*C51*'Market Data'!$E$51/('Market Penetration'!C51*'Market Data'!$C$51))</f>
        <v>115643.94512569514</v>
      </c>
      <c r="Z51" s="308">
        <f>IF('Market Penetration'!D51=0,0,1000*D51*'Market Data'!$E$51/('Market Penetration'!D51*'Market Data'!$C$51))</f>
        <v>116106.89208780778</v>
      </c>
      <c r="AA51" s="542">
        <f>IF('Market Penetration'!E51=0,0,1000*E51*'Market Data'!$E$51/('Market Penetration'!E51*'Market Data'!$C$51))</f>
        <v>113058.58676804561</v>
      </c>
      <c r="AB51" s="308">
        <f>IF('Market Penetration'!F51=0,0,1000*F51*'Market Data'!$E$51/('Market Penetration'!F51*'Market Data'!$C$51))</f>
        <v>124736.25144968103</v>
      </c>
      <c r="AC51" s="537">
        <f>IF('Market Penetration'!G51=0,0,1000*G51*'Market Data'!$E$51/('Market Penetration'!G51*'Market Data'!$C$51))</f>
        <v>128028.40369291221</v>
      </c>
      <c r="AD51" s="307">
        <f>IF('Market Penetration'!H51=0,0,1000*H51*'Market Data'!$O$51/('Market Penetration'!H51*'Market Data'!$M$51))</f>
        <v>44198.030961971097</v>
      </c>
      <c r="AE51" s="308">
        <f>IF('Market Penetration'!I51=0,0,1000*I51*'Market Data'!$O$51/('Market Penetration'!I51*'Market Data'!$M$51))</f>
        <v>97786.879247272751</v>
      </c>
      <c r="AF51" s="308">
        <f>IF('Market Penetration'!J51=0,0,1000*J51*'Market Data'!$O$51/('Market Penetration'!J51*'Market Data'!$M$51))</f>
        <v>97268.456308507157</v>
      </c>
      <c r="AG51" s="308">
        <f>IF('Market Penetration'!K51=0,0,1000*K51*'Market Data'!$O$51/('Market Penetration'!K51*'Market Data'!$M$51))</f>
        <v>60028.076940826497</v>
      </c>
      <c r="AH51" s="308">
        <f>IF('Market Penetration'!L51=0,0,1000*L51*'Market Data'!$O$51/('Market Penetration'!L51*'Market Data'!$M$51))</f>
        <v>105252.11983044742</v>
      </c>
      <c r="AI51" s="309">
        <f>IF('Market Penetration'!M51=0,0,1000*M51*'Market Data'!$O$51/('Market Penetration'!M51*'Market Data'!$M$51))</f>
        <v>101866.62258983385</v>
      </c>
      <c r="AJ51" s="307">
        <f>IF('Market Penetration'!N51=0,0,1000*N51*'Market Data'!$Y$51/('Market Penetration'!N51*'Market Data'!$W$51))</f>
        <v>27261.021505205488</v>
      </c>
      <c r="AK51" s="308">
        <f>IF('Market Penetration'!O51=0,0,1000*O51*'Market Data'!$Y$51/('Market Penetration'!O51*'Market Data'!$W$51))</f>
        <v>24639.405583662123</v>
      </c>
      <c r="AL51" s="308">
        <f>IF('Market Penetration'!P51=0,0,1000*P51*'Market Data'!$Y$51/('Market Penetration'!P51*'Market Data'!$W$51))</f>
        <v>22000.842943656025</v>
      </c>
      <c r="AM51" s="542">
        <f>IF('Market Penetration'!Q51=0,0,1000*Q51*'Market Data'!$Y$51/('Market Penetration'!Q51*'Market Data'!$W$51))</f>
        <v>33594.308916710092</v>
      </c>
      <c r="AN51" s="308">
        <f>IF('Market Penetration'!R51=0,0,1000*R51*'Market Data'!$Y$51/('Market Penetration'!R51*'Market Data'!$W$51))</f>
        <v>44440.462780118891</v>
      </c>
      <c r="AO51" s="537">
        <f>IF('Market Penetration'!S51=0,0,1000*S51*'Market Data'!$Y$51/('Market Penetration'!S51*'Market Data'!$W$51))</f>
        <v>43614.215914949527</v>
      </c>
      <c r="AP51" s="307">
        <f>IF('Market Penetration'!T51=0,0,1000*T51*('Market Data'!$E$51+'Market Data'!$O$51+'Market Data'!$Y$51)/('Market Penetration'!T51*('Market Data'!$C$51+'Market Data'!$M$51+'Market Data'!$W$51)))</f>
        <v>44183.306761241947</v>
      </c>
      <c r="AQ51" s="309">
        <f>IF('Market Penetration'!U51=0,0,1000*U51*('Market Data'!$E$51+'Market Data'!$O$51+'Market Data'!$Y$51)/('Market Penetration'!U51*('Market Data'!$C$51+'Market Data'!$M$51+'Market Data'!$W$51)))</f>
        <v>78488.036620579529</v>
      </c>
    </row>
    <row r="52" spans="1:43" ht="15.75" thickBot="1" x14ac:dyDescent="0.3">
      <c r="A52" s="276">
        <v>2050</v>
      </c>
      <c r="B52" s="300">
        <f t="shared" si="12"/>
        <v>2.4416837384449885E-2</v>
      </c>
      <c r="C52" s="301">
        <f>'7&amp;8 Sleep'!$M119+'7&amp;8 Sleep'!$Z119</f>
        <v>0.26000222265982947</v>
      </c>
      <c r="D52" s="301">
        <f>'7&amp;8 Sleep'!$M171+'7&amp;8 Sleep'!$Z171</f>
        <v>0.25679352423974022</v>
      </c>
      <c r="E52" s="550">
        <f>'7&amp;8 Sleep'!$M223+'7&amp;8 Sleep'!$Z223</f>
        <v>0.10137675079996503</v>
      </c>
      <c r="F52" s="301">
        <f>'7&amp;8 Sleep'!$M276+'7&amp;8 Sleep'!$Z276</f>
        <v>0.21214425884279592</v>
      </c>
      <c r="G52" s="508">
        <f>'7&amp;8 Sleep'!$M329+'7&amp;8 Sleep'!$Z329</f>
        <v>0.14526640607321947</v>
      </c>
      <c r="H52" s="703">
        <f t="shared" si="13"/>
        <v>0.21617800717043978</v>
      </c>
      <c r="I52" s="508">
        <f>'7&amp;8 Day'!$M119+'7&amp;8 Day'!$Z119</f>
        <v>0.2042267832873314</v>
      </c>
      <c r="J52" s="508">
        <f>'7&amp;8 Day'!$M171+'7&amp;8 Day'!$Z171</f>
        <v>0.20096346431178458</v>
      </c>
      <c r="K52" s="508">
        <f>'7&amp;8 Day'!$M223+'7&amp;8 Day'!$Z223</f>
        <v>4.0687178812150136E-2</v>
      </c>
      <c r="L52" s="508">
        <f>'7&amp;8 Day'!$M276+'7&amp;8 Day'!$Z276</f>
        <v>0.16851391382838987</v>
      </c>
      <c r="M52" s="555">
        <f>'7&amp;8 Day'!$M329+'7&amp;8 Day'!$Z329</f>
        <v>0.16943065258990431</v>
      </c>
      <c r="N52" s="300">
        <f t="shared" si="14"/>
        <v>1.4961945423275225E-5</v>
      </c>
      <c r="O52" s="301">
        <f>'7&amp;8 SU'!$M119+'7&amp;8 SU'!$Z119</f>
        <v>0.28132446931552102</v>
      </c>
      <c r="P52" s="301">
        <f>'7&amp;8 SU'!$M171+'7&amp;8 SU'!$Z171</f>
        <v>0.3110152132714219</v>
      </c>
      <c r="Q52" s="550">
        <f>'7&amp;8 SU'!$M223+'7&amp;8 SU'!$Z223</f>
        <v>0.12136383881918343</v>
      </c>
      <c r="R52" s="301">
        <f>'7&amp;8 SU'!$M276+'7&amp;8 SU'!$Z276</f>
        <v>0.1470199162103597</v>
      </c>
      <c r="S52" s="508">
        <f>'7&amp;8 SU'!$M329+'7&amp;8 SU'!$Z329</f>
        <v>0.13926160043809066</v>
      </c>
      <c r="T52" s="300">
        <f>B52*'Market Data'!$E$52+H52*'Market Data'!$O$52+N52*+N52*'Market Data'!$Y$52</f>
        <v>6.8612733351089875E-2</v>
      </c>
      <c r="U52" s="302">
        <f>SUM(C52:G52)*'Market Data'!$E$52+SUM(I52:M52)*'Market Data'!$O$52+SUM(O52:S52)*+N52*'Market Data'!$Y$52</f>
        <v>0.84171020112476724</v>
      </c>
      <c r="W52" s="276">
        <v>2050</v>
      </c>
      <c r="X52" s="317">
        <f>IF('Market Penetration'!B52=0,0,1000*B52*'Market Data'!$E$51/('Market Penetration'!B52*'Market Data'!$C$51))</f>
        <v>44494.97989390236</v>
      </c>
      <c r="Y52" s="318">
        <f>IF('Market Penetration'!C52=0,0,1000*C52*'Market Data'!$E$51/('Market Penetration'!C52*'Market Data'!$C$51))</f>
        <v>116588.73070111006</v>
      </c>
      <c r="Z52" s="318">
        <f>IF('Market Penetration'!D52=0,0,1000*D52*'Market Data'!$E$51/('Market Penetration'!D52*'Market Data'!$C$51))</f>
        <v>116892.11598781659</v>
      </c>
      <c r="AA52" s="545">
        <f>IF('Market Penetration'!E52=0,0,1000*E52*'Market Data'!$E$51/('Market Penetration'!E52*'Market Data'!$C$51))</f>
        <v>111273.56266300687</v>
      </c>
      <c r="AB52" s="318">
        <f>IF('Market Penetration'!F52=0,0,1000*F52*'Market Data'!$E$51/('Market Penetration'!F52*'Market Data'!$C$51))</f>
        <v>123312.74797295232</v>
      </c>
      <c r="AC52" s="540">
        <f>IF('Market Penetration'!G52=0,0,1000*G52*'Market Data'!$E$51/('Market Penetration'!G52*'Market Data'!$C$51))</f>
        <v>127144.47739154103</v>
      </c>
      <c r="AD52" s="317">
        <f>IF('Market Penetration'!H52=0,0,1000*H52*'Market Data'!$O$51/('Market Penetration'!H52*'Market Data'!$M$51))</f>
        <v>44467.414333863504</v>
      </c>
      <c r="AE52" s="318">
        <f>IF('Market Penetration'!I52=0,0,1000*I52*'Market Data'!$O$51/('Market Penetration'!I52*'Market Data'!$M$51))</f>
        <v>98611.491334209641</v>
      </c>
      <c r="AF52" s="318">
        <f>IF('Market Penetration'!J52=0,0,1000*J52*'Market Data'!$O$51/('Market Penetration'!J52*'Market Data'!$M$51))</f>
        <v>98096.471521343614</v>
      </c>
      <c r="AG52" s="318">
        <f>IF('Market Penetration'!K52=0,0,1000*K52*'Market Data'!$O$51/('Market Penetration'!K52*'Market Data'!$M$51))</f>
        <v>57702.608099862053</v>
      </c>
      <c r="AH52" s="318">
        <f>IF('Market Penetration'!L52=0,0,1000*L52*'Market Data'!$O$51/('Market Penetration'!L52*'Market Data'!$M$51))</f>
        <v>103775.4224775894</v>
      </c>
      <c r="AI52" s="319">
        <f>IF('Market Penetration'!M52=0,0,1000*M52*'Market Data'!$O$51/('Market Penetration'!M52*'Market Data'!$M$51))</f>
        <v>100882.9162267933</v>
      </c>
      <c r="AJ52" s="317">
        <f>IF('Market Penetration'!N52=0,0,1000*N52*'Market Data'!$Y$51/('Market Penetration'!N52*'Market Data'!$W$51))</f>
        <v>27261.021505610061</v>
      </c>
      <c r="AK52" s="318">
        <f>IF('Market Penetration'!O52=0,0,1000*O52*'Market Data'!$Y$51/('Market Penetration'!O52*'Market Data'!$W$51))</f>
        <v>24076.162236585889</v>
      </c>
      <c r="AL52" s="318">
        <f>IF('Market Penetration'!P52=0,0,1000*P52*'Market Data'!$Y$51/('Market Penetration'!P52*'Market Data'!$W$51))</f>
        <v>22006.816196560598</v>
      </c>
      <c r="AM52" s="545">
        <f>IF('Market Penetration'!Q52=0,0,1000*Q52*'Market Data'!$Y$51/('Market Penetration'!Q52*'Market Data'!$W$51))</f>
        <v>29720.558234679254</v>
      </c>
      <c r="AN52" s="318">
        <f>IF('Market Penetration'!R52=0,0,1000*R52*'Market Data'!$Y$51/('Market Penetration'!R52*'Market Data'!$W$51))</f>
        <v>42052.622409887059</v>
      </c>
      <c r="AO52" s="540">
        <f>IF('Market Penetration'!S52=0,0,1000*S52*'Market Data'!$Y$51/('Market Penetration'!S52*'Market Data'!$W$51))</f>
        <v>42395.479670847679</v>
      </c>
      <c r="AP52" s="317">
        <f>IF('Market Penetration'!T52=0,0,1000*T52*('Market Data'!$E$51+'Market Data'!$O$51+'Market Data'!$Y$51)/('Market Penetration'!T52*('Market Data'!$C$51+'Market Data'!$M$51+'Market Data'!$W$51)))</f>
        <v>44472.549458166031</v>
      </c>
      <c r="AQ52" s="319">
        <f>IF('Market Penetration'!U52=0,0,1000*U52*('Market Data'!$E$51+'Market Data'!$O$51+'Market Data'!$Y$51)/('Market Penetration'!U52*('Market Data'!$C$51+'Market Data'!$M$51+'Market Data'!$W$51)))</f>
        <v>78390.466948042857</v>
      </c>
    </row>
    <row r="53" spans="1:43" x14ac:dyDescent="0.2">
      <c r="A53" s="270"/>
      <c r="B53" s="270"/>
    </row>
    <row r="54" spans="1:43" x14ac:dyDescent="0.2">
      <c r="A54" s="280" t="str">
        <f>"Run id: '"&amp;'Run Model'!B3&amp;"'"</f>
        <v>Run id: 'MDHD Benefits Analysis Preliminary Run 2020-08-27'</v>
      </c>
      <c r="B54" s="270"/>
      <c r="F54" s="1127"/>
      <c r="O54" s="1127"/>
      <c r="T54" s="1127"/>
    </row>
    <row r="55" spans="1:43" x14ac:dyDescent="0.2">
      <c r="A55" s="280" t="s">
        <v>126</v>
      </c>
      <c r="B55" s="270"/>
    </row>
    <row r="56" spans="1:43" x14ac:dyDescent="0.2">
      <c r="A56" s="320" t="str">
        <f>"Combination, Centrally Refueled: " &amp;TEXT(RtimeCls1Cent1,"mm/dd/yyyy hh:mm")</f>
        <v>Combination, Centrally Refueled: 11/04/2020 14:47</v>
      </c>
      <c r="B56" s="271"/>
    </row>
    <row r="57" spans="1:43" x14ac:dyDescent="0.2">
      <c r="A57" s="320" t="str">
        <f>"Combination, Non-Centrally Refueled: " &amp;TEXT(RtimeCls1NCent1,"mm/dd/yyyy hh:mm")</f>
        <v>Combination, Non-Centrally Refueled: 11/04/2020 14:47</v>
      </c>
    </row>
    <row r="58" spans="1:43" x14ac:dyDescent="0.2">
      <c r="A58" s="320" t="str">
        <f>"Single Unit, Centrally Refueled: " &amp;TEXT(RtimeCls2Cent1,"mm/dd/yyyy hh:mm")</f>
        <v>Single Unit, Centrally Refueled: 11/04/2020 14:47</v>
      </c>
    </row>
    <row r="59" spans="1:43" x14ac:dyDescent="0.2">
      <c r="A59" s="320" t="str">
        <f>"Single Unit, Non-Centrally Refueled: " &amp;TEXT(RtimeCls2NCent1,"mm/dd/yyyy hh:mm")</f>
        <v>Single Unit, Non-Centrally Refueled: 11/04/2020 14:47</v>
      </c>
    </row>
  </sheetData>
  <mergeCells count="18">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 ref="AP5:AQ5"/>
    <mergeCell ref="AP4:AQ4"/>
  </mergeCells>
  <phoneticPr fontId="52" type="noConversion"/>
  <conditionalFormatting sqref="B6:S52 X6:AO52">
    <cfRule type="expression" dxfId="23"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269"/>
    <col min="2" max="2" width="14.28515625" style="269" customWidth="1"/>
    <col min="3" max="7" width="10.42578125" style="269" customWidth="1"/>
    <col min="8" max="8" width="13.42578125" style="269" customWidth="1"/>
    <col min="9" max="14" width="10.42578125" style="269" customWidth="1"/>
    <col min="15" max="15" width="11.28515625" style="269" bestFit="1" customWidth="1"/>
    <col min="16" max="16384" width="9.140625" style="269"/>
  </cols>
  <sheetData>
    <row r="1" spans="1:24" x14ac:dyDescent="0.2">
      <c r="A1" s="708" t="s">
        <v>261</v>
      </c>
    </row>
    <row r="2" spans="1:24" ht="13.5" thickBot="1" x14ac:dyDescent="0.25"/>
    <row r="3" spans="1:24" ht="19.5" thickBot="1" x14ac:dyDescent="0.35">
      <c r="A3" s="1589" t="s">
        <v>151</v>
      </c>
      <c r="B3" s="1590"/>
      <c r="C3" s="1590"/>
      <c r="D3" s="1590"/>
      <c r="E3" s="1590"/>
      <c r="F3" s="1590"/>
      <c r="G3" s="1590"/>
      <c r="H3" s="1590"/>
      <c r="I3" s="1590"/>
      <c r="J3" s="1590"/>
      <c r="K3" s="1590"/>
      <c r="L3" s="1590"/>
      <c r="M3" s="1590"/>
      <c r="N3" s="1590"/>
      <c r="O3" s="1590"/>
      <c r="P3" s="1590"/>
      <c r="Q3" s="1590"/>
      <c r="R3" s="1590"/>
      <c r="S3" s="1590"/>
      <c r="T3" s="1590"/>
      <c r="U3" s="1591"/>
    </row>
    <row r="4" spans="1:24" ht="15" x14ac:dyDescent="0.25">
      <c r="A4" s="272"/>
      <c r="B4" s="1585" t="s">
        <v>249</v>
      </c>
      <c r="C4" s="1586"/>
      <c r="D4" s="1586"/>
      <c r="E4" s="1586"/>
      <c r="F4" s="1586"/>
      <c r="G4" s="1587"/>
      <c r="H4" s="1585" t="s">
        <v>250</v>
      </c>
      <c r="I4" s="1586"/>
      <c r="J4" s="1586"/>
      <c r="K4" s="1586"/>
      <c r="L4" s="1586"/>
      <c r="M4" s="1587"/>
      <c r="N4" s="1585" t="s">
        <v>154</v>
      </c>
      <c r="O4" s="1586"/>
      <c r="P4" s="1586"/>
      <c r="Q4" s="1586"/>
      <c r="R4" s="1586"/>
      <c r="S4" s="1587"/>
      <c r="T4" s="1595" t="s">
        <v>153</v>
      </c>
      <c r="U4" s="1581"/>
    </row>
    <row r="5" spans="1:24" ht="15" x14ac:dyDescent="0.25">
      <c r="A5" s="273"/>
      <c r="B5" s="1582" t="s">
        <v>129</v>
      </c>
      <c r="C5" s="1583"/>
      <c r="D5" s="1583"/>
      <c r="E5" s="1583"/>
      <c r="F5" s="1583"/>
      <c r="G5" s="1584"/>
      <c r="H5" s="1582" t="s">
        <v>129</v>
      </c>
      <c r="I5" s="1583"/>
      <c r="J5" s="1583"/>
      <c r="K5" s="1583"/>
      <c r="L5" s="1583"/>
      <c r="M5" s="1584"/>
      <c r="N5" s="1582" t="s">
        <v>129</v>
      </c>
      <c r="O5" s="1583"/>
      <c r="P5" s="1583"/>
      <c r="Q5" s="1583"/>
      <c r="R5" s="1583"/>
      <c r="S5" s="1584"/>
      <c r="T5" s="1588" t="s">
        <v>129</v>
      </c>
      <c r="U5" s="1579"/>
    </row>
    <row r="6" spans="1:24" ht="15" x14ac:dyDescent="0.25">
      <c r="A6" s="273"/>
      <c r="B6" s="943" t="s">
        <v>69</v>
      </c>
      <c r="C6" s="944" t="s">
        <v>65</v>
      </c>
      <c r="D6" s="944" t="s">
        <v>66</v>
      </c>
      <c r="E6" s="944" t="s">
        <v>67</v>
      </c>
      <c r="F6" s="944" t="s">
        <v>205</v>
      </c>
      <c r="G6" s="945" t="s">
        <v>206</v>
      </c>
      <c r="H6" s="943" t="s">
        <v>69</v>
      </c>
      <c r="I6" s="944" t="s">
        <v>65</v>
      </c>
      <c r="J6" s="944" t="s">
        <v>66</v>
      </c>
      <c r="K6" s="944" t="s">
        <v>67</v>
      </c>
      <c r="L6" s="944" t="s">
        <v>205</v>
      </c>
      <c r="M6" s="945" t="s">
        <v>206</v>
      </c>
      <c r="N6" s="943" t="s">
        <v>69</v>
      </c>
      <c r="O6" s="944" t="s">
        <v>65</v>
      </c>
      <c r="P6" s="944" t="s">
        <v>66</v>
      </c>
      <c r="Q6" s="944" t="s">
        <v>67</v>
      </c>
      <c r="R6" s="944" t="s">
        <v>205</v>
      </c>
      <c r="S6" s="945" t="s">
        <v>206</v>
      </c>
      <c r="T6" s="495"/>
      <c r="U6" s="497"/>
    </row>
    <row r="7" spans="1:24" ht="45" x14ac:dyDescent="0.25">
      <c r="A7" s="273"/>
      <c r="B7" s="953" t="str">
        <f t="shared" ref="B7:G7" si="0">INDEX(TECH_OPT_DESC_Cls1,MATCH(B6,TECH_OPT_ROWS_Cls1,0))</f>
        <v>Conventional Diesel ICE</v>
      </c>
      <c r="C7" s="954" t="str">
        <f t="shared" si="0"/>
        <v>Adv Conv</v>
      </c>
      <c r="D7" s="954" t="str">
        <f t="shared" si="0"/>
        <v>HEV</v>
      </c>
      <c r="E7" s="954" t="str">
        <f t="shared" si="0"/>
        <v>BEV</v>
      </c>
      <c r="F7" s="954" t="str">
        <f t="shared" si="0"/>
        <v>FCEV</v>
      </c>
      <c r="G7" s="955" t="str">
        <f t="shared" si="0"/>
        <v>PHEV</v>
      </c>
      <c r="H7" s="953" t="str">
        <f t="shared" ref="H7:M7" si="1">INDEX(TECH_OPT_DESC_Cls2,MATCH(H6,TECH_OPT_ROWS_Cls2,0))</f>
        <v>Conventional Diesel ICE</v>
      </c>
      <c r="I7" s="954" t="str">
        <f t="shared" si="1"/>
        <v>Adv Conv</v>
      </c>
      <c r="J7" s="954" t="str">
        <f t="shared" si="1"/>
        <v>HEV</v>
      </c>
      <c r="K7" s="954" t="str">
        <f t="shared" si="1"/>
        <v>BEV</v>
      </c>
      <c r="L7" s="954" t="str">
        <f t="shared" si="1"/>
        <v>FCEV</v>
      </c>
      <c r="M7" s="955" t="str">
        <f t="shared" si="1"/>
        <v>PHEV</v>
      </c>
      <c r="N7" s="953" t="str">
        <f t="shared" ref="N7:S7" si="2">INDEX(TECH_OPT_DESC_Cls3,MATCH(N6,TECH_OPT_ROWS_Cls3,0))</f>
        <v>Conventional Diesel ICE</v>
      </c>
      <c r="O7" s="954" t="str">
        <f t="shared" si="2"/>
        <v>Adv Conv</v>
      </c>
      <c r="P7" s="954" t="str">
        <f t="shared" si="2"/>
        <v>HEV</v>
      </c>
      <c r="Q7" s="954" t="str">
        <f t="shared" si="2"/>
        <v>BEV</v>
      </c>
      <c r="R7" s="954" t="str">
        <f t="shared" si="2"/>
        <v>FCEV</v>
      </c>
      <c r="S7" s="955" t="str">
        <f t="shared" si="2"/>
        <v>PHEV</v>
      </c>
      <c r="T7" s="518" t="s">
        <v>69</v>
      </c>
      <c r="U7" s="282" t="s">
        <v>138</v>
      </c>
    </row>
    <row r="8" spans="1:24" ht="30.75" thickBot="1" x14ac:dyDescent="0.3">
      <c r="A8" s="277" t="s">
        <v>3</v>
      </c>
      <c r="B8" s="949" t="str">
        <f t="shared" ref="B8:G8" si="3">INDEX(TECH_OPT_FUEL1_Cls1,MATCH(B6,TECH_OPT_ROWS_Cls1,0))</f>
        <v>Diesel</v>
      </c>
      <c r="C8" s="950" t="str">
        <f t="shared" si="3"/>
        <v>Diesel</v>
      </c>
      <c r="D8" s="950" t="str">
        <f t="shared" si="3"/>
        <v>Diesel</v>
      </c>
      <c r="E8" s="950" t="str">
        <f t="shared" si="3"/>
        <v>Electricity</v>
      </c>
      <c r="F8" s="950" t="str">
        <f t="shared" si="3"/>
        <v>Hydrogen</v>
      </c>
      <c r="G8" s="951" t="str">
        <f t="shared" si="3"/>
        <v>Diesel</v>
      </c>
      <c r="H8" s="949" t="str">
        <f t="shared" ref="H8:M8" si="4">INDEX(TECH_OPT_FUEL1_Cls2,MATCH(H6,TECH_OPT_ROWS_Cls2,0))</f>
        <v>Diesel</v>
      </c>
      <c r="I8" s="950" t="str">
        <f t="shared" si="4"/>
        <v>Diesel</v>
      </c>
      <c r="J8" s="950" t="str">
        <f t="shared" si="4"/>
        <v>Diesel</v>
      </c>
      <c r="K8" s="950" t="str">
        <f t="shared" si="4"/>
        <v>Electricity</v>
      </c>
      <c r="L8" s="950" t="str">
        <f t="shared" si="4"/>
        <v>Hydrogen</v>
      </c>
      <c r="M8" s="951" t="str">
        <f t="shared" si="4"/>
        <v>Diesel</v>
      </c>
      <c r="N8" s="949" t="str">
        <f t="shared" ref="N8:S8" si="5">INDEX(TECH_OPT_FUEL1_Cls3,MATCH(N6,TECH_OPT_ROWS_Cls3,0))</f>
        <v>Diesel</v>
      </c>
      <c r="O8" s="950" t="str">
        <f t="shared" si="5"/>
        <v>Diesel</v>
      </c>
      <c r="P8" s="950" t="str">
        <f t="shared" si="5"/>
        <v>Diesel</v>
      </c>
      <c r="Q8" s="950" t="str">
        <f t="shared" si="5"/>
        <v>Electricity</v>
      </c>
      <c r="R8" s="950" t="str">
        <f t="shared" si="5"/>
        <v>Hydrogen</v>
      </c>
      <c r="S8" s="951" t="str">
        <f t="shared" si="5"/>
        <v>Diesel</v>
      </c>
      <c r="T8" s="284"/>
      <c r="U8" s="283"/>
    </row>
    <row r="9" spans="1:24" ht="15.75" thickTop="1" x14ac:dyDescent="0.25">
      <c r="A9" s="275">
        <v>2007</v>
      </c>
      <c r="B9" s="285">
        <f>'Market Data'!$E$52*'Mkt Pen Veh-Mi'!B9</f>
        <v>0.66842924773992651</v>
      </c>
      <c r="C9" s="286">
        <f>'Market Data'!$E$52*'Mkt Pen Veh-Mi'!C9</f>
        <v>0</v>
      </c>
      <c r="D9" s="286">
        <f>'Market Data'!$E$52*'Mkt Pen Veh-Mi'!D9</f>
        <v>0</v>
      </c>
      <c r="E9" s="546">
        <f>'Market Data'!$E$52*'Mkt Pen Veh-Mi'!E9</f>
        <v>0</v>
      </c>
      <c r="F9" s="546">
        <f>'Market Data'!$E$52*'Mkt Pen Veh-Mi'!F9</f>
        <v>0</v>
      </c>
      <c r="G9" s="551">
        <f>'Market Data'!$E$52*'Mkt Pen Veh-Mi'!G9</f>
        <v>0</v>
      </c>
      <c r="H9" s="285">
        <f>'Market Data'!$O$52*'Mkt Pen Veh-Mi'!H9</f>
        <v>0.24189234497249509</v>
      </c>
      <c r="I9" s="286">
        <f>'Market Data'!$O$52*'Mkt Pen Veh-Mi'!I9</f>
        <v>0</v>
      </c>
      <c r="J9" s="286">
        <f>'Market Data'!$O$52*'Mkt Pen Veh-Mi'!J9</f>
        <v>0</v>
      </c>
      <c r="K9" s="546">
        <f>'Market Data'!$O$52*'Mkt Pen Veh-Mi'!K9</f>
        <v>0</v>
      </c>
      <c r="L9" s="546">
        <f>'Market Data'!$O$52*'Mkt Pen Veh-Mi'!L9</f>
        <v>0</v>
      </c>
      <c r="M9" s="551">
        <f>'Market Data'!$O$52*'Mkt Pen Veh-Mi'!M9</f>
        <v>0</v>
      </c>
      <c r="N9" s="285">
        <f>'Market Data'!$Y$52*'Mkt Pen Veh-Mi'!N9</f>
        <v>8.967840728757831E-2</v>
      </c>
      <c r="O9" s="286">
        <f>'Market Data'!$Y$52*'Mkt Pen Veh-Mi'!O9</f>
        <v>0</v>
      </c>
      <c r="P9" s="286">
        <f>'Market Data'!$Y$52*'Mkt Pen Veh-Mi'!P9</f>
        <v>0</v>
      </c>
      <c r="Q9" s="546">
        <f>'Market Data'!$Y$52*'Mkt Pen Veh-Mi'!Q9</f>
        <v>0</v>
      </c>
      <c r="R9" s="546">
        <f>'Market Data'!$Y$52*'Mkt Pen Veh-Mi'!R9</f>
        <v>0</v>
      </c>
      <c r="S9" s="551">
        <f>'Market Data'!$Y$52*'Mkt Pen Veh-Mi'!S9</f>
        <v>0</v>
      </c>
      <c r="T9" s="285">
        <f>B9+N9+H9</f>
        <v>0.99999999999999989</v>
      </c>
      <c r="U9" s="287">
        <f>SUM(C9:G9)+SUM(O9:S9)</f>
        <v>0</v>
      </c>
      <c r="X9" s="74"/>
    </row>
    <row r="10" spans="1:24" ht="15" x14ac:dyDescent="0.25">
      <c r="A10" s="275">
        <v>2008</v>
      </c>
      <c r="B10" s="288">
        <f>'Market Data'!$E$52*'Mkt Pen Veh-Mi'!B10</f>
        <v>0.66842924773992651</v>
      </c>
      <c r="C10" s="289">
        <f>'Market Data'!$E$52*'Mkt Pen Veh-Mi'!C10</f>
        <v>0</v>
      </c>
      <c r="D10" s="289">
        <f>'Market Data'!$E$52*'Mkt Pen Veh-Mi'!D10</f>
        <v>0</v>
      </c>
      <c r="E10" s="547">
        <f>'Market Data'!$E$52*'Mkt Pen Veh-Mi'!E10</f>
        <v>0</v>
      </c>
      <c r="F10" s="547">
        <f>'Market Data'!$E$52*'Mkt Pen Veh-Mi'!F10</f>
        <v>0</v>
      </c>
      <c r="G10" s="552">
        <f>'Market Data'!$E$52*'Mkt Pen Veh-Mi'!G10</f>
        <v>0</v>
      </c>
      <c r="H10" s="288">
        <f>'Market Data'!$O$52*'Mkt Pen Veh-Mi'!H10</f>
        <v>0.24189234497249509</v>
      </c>
      <c r="I10" s="289">
        <f>'Market Data'!$O$52*'Mkt Pen Veh-Mi'!I10</f>
        <v>0</v>
      </c>
      <c r="J10" s="289">
        <f>'Market Data'!$O$52*'Mkt Pen Veh-Mi'!J10</f>
        <v>0</v>
      </c>
      <c r="K10" s="547">
        <f>'Market Data'!$O$52*'Mkt Pen Veh-Mi'!K10</f>
        <v>0</v>
      </c>
      <c r="L10" s="547">
        <f>'Market Data'!$O$52*'Mkt Pen Veh-Mi'!L10</f>
        <v>0</v>
      </c>
      <c r="M10" s="552">
        <f>'Market Data'!$O$52*'Mkt Pen Veh-Mi'!M10</f>
        <v>0</v>
      </c>
      <c r="N10" s="288">
        <f>'Market Data'!$Y$52*'Mkt Pen Veh-Mi'!N10</f>
        <v>8.967840728757831E-2</v>
      </c>
      <c r="O10" s="289">
        <f>'Market Data'!$Y$52*'Mkt Pen Veh-Mi'!O10</f>
        <v>0</v>
      </c>
      <c r="P10" s="289">
        <f>'Market Data'!$Y$52*'Mkt Pen Veh-Mi'!P10</f>
        <v>0</v>
      </c>
      <c r="Q10" s="547">
        <f>'Market Data'!$Y$52*'Mkt Pen Veh-Mi'!Q10</f>
        <v>0</v>
      </c>
      <c r="R10" s="547">
        <f>'Market Data'!$Y$52*'Mkt Pen Veh-Mi'!R10</f>
        <v>0</v>
      </c>
      <c r="S10" s="552">
        <f>'Market Data'!$Y$52*'Mkt Pen Veh-Mi'!S10</f>
        <v>0</v>
      </c>
      <c r="T10" s="288">
        <f t="shared" ref="T10:T52" si="6">B10+N10+H10</f>
        <v>0.99999999999999989</v>
      </c>
      <c r="U10" s="290">
        <f t="shared" ref="U10:U17" si="7">SUM(C10:G10)+SUM(O10:S10)</f>
        <v>0</v>
      </c>
      <c r="X10" s="74"/>
    </row>
    <row r="11" spans="1:24" ht="15" x14ac:dyDescent="0.25">
      <c r="A11" s="275">
        <v>2009</v>
      </c>
      <c r="B11" s="288">
        <f>'Market Data'!$E$52*'Mkt Pen Veh-Mi'!B11</f>
        <v>0.66842924773992651</v>
      </c>
      <c r="C11" s="289">
        <f>'Market Data'!$E$52*'Mkt Pen Veh-Mi'!C11</f>
        <v>0</v>
      </c>
      <c r="D11" s="289">
        <f>'Market Data'!$E$52*'Mkt Pen Veh-Mi'!D11</f>
        <v>0</v>
      </c>
      <c r="E11" s="547">
        <f>'Market Data'!$E$52*'Mkt Pen Veh-Mi'!E11</f>
        <v>0</v>
      </c>
      <c r="F11" s="547">
        <f>'Market Data'!$E$52*'Mkt Pen Veh-Mi'!F11</f>
        <v>0</v>
      </c>
      <c r="G11" s="552">
        <f>'Market Data'!$E$52*'Mkt Pen Veh-Mi'!G11</f>
        <v>0</v>
      </c>
      <c r="H11" s="288">
        <f>'Market Data'!$O$52*'Mkt Pen Veh-Mi'!H11</f>
        <v>0.24189234497249509</v>
      </c>
      <c r="I11" s="289">
        <f>'Market Data'!$O$52*'Mkt Pen Veh-Mi'!I11</f>
        <v>0</v>
      </c>
      <c r="J11" s="289">
        <f>'Market Data'!$O$52*'Mkt Pen Veh-Mi'!J11</f>
        <v>0</v>
      </c>
      <c r="K11" s="547">
        <f>'Market Data'!$O$52*'Mkt Pen Veh-Mi'!K11</f>
        <v>0</v>
      </c>
      <c r="L11" s="547">
        <f>'Market Data'!$O$52*'Mkt Pen Veh-Mi'!L11</f>
        <v>0</v>
      </c>
      <c r="M11" s="552">
        <f>'Market Data'!$O$52*'Mkt Pen Veh-Mi'!M11</f>
        <v>0</v>
      </c>
      <c r="N11" s="288">
        <f>'Market Data'!$Y$52*'Mkt Pen Veh-Mi'!N11</f>
        <v>8.967840728757831E-2</v>
      </c>
      <c r="O11" s="289">
        <f>'Market Data'!$Y$52*'Mkt Pen Veh-Mi'!O11</f>
        <v>0</v>
      </c>
      <c r="P11" s="289">
        <f>'Market Data'!$Y$52*'Mkt Pen Veh-Mi'!P11</f>
        <v>0</v>
      </c>
      <c r="Q11" s="547">
        <f>'Market Data'!$Y$52*'Mkt Pen Veh-Mi'!Q11</f>
        <v>0</v>
      </c>
      <c r="R11" s="547">
        <f>'Market Data'!$Y$52*'Mkt Pen Veh-Mi'!R11</f>
        <v>0</v>
      </c>
      <c r="S11" s="552">
        <f>'Market Data'!$Y$52*'Mkt Pen Veh-Mi'!S11</f>
        <v>0</v>
      </c>
      <c r="T11" s="288">
        <f t="shared" si="6"/>
        <v>0.99999999999999989</v>
      </c>
      <c r="U11" s="290">
        <f t="shared" si="7"/>
        <v>0</v>
      </c>
      <c r="X11" s="74"/>
    </row>
    <row r="12" spans="1:24" ht="15" x14ac:dyDescent="0.25">
      <c r="A12" s="275">
        <v>2010</v>
      </c>
      <c r="B12" s="291">
        <f>'Market Data'!$E$52*'Mkt Pen Veh-Mi'!B12</f>
        <v>0.66842924773992651</v>
      </c>
      <c r="C12" s="292">
        <f>'Market Data'!$E$52*'Mkt Pen Veh-Mi'!C12</f>
        <v>0</v>
      </c>
      <c r="D12" s="292">
        <f>'Market Data'!$E$52*'Mkt Pen Veh-Mi'!D12</f>
        <v>0</v>
      </c>
      <c r="E12" s="548">
        <f>'Market Data'!$E$52*'Mkt Pen Veh-Mi'!E12</f>
        <v>0</v>
      </c>
      <c r="F12" s="548">
        <f>'Market Data'!$E$52*'Mkt Pen Veh-Mi'!F12</f>
        <v>0</v>
      </c>
      <c r="G12" s="553">
        <f>'Market Data'!$E$52*'Mkt Pen Veh-Mi'!G12</f>
        <v>0</v>
      </c>
      <c r="H12" s="291">
        <f>'Market Data'!$O$52*'Mkt Pen Veh-Mi'!H12</f>
        <v>0.24189234497249509</v>
      </c>
      <c r="I12" s="292">
        <f>'Market Data'!$O$52*'Mkt Pen Veh-Mi'!I12</f>
        <v>0</v>
      </c>
      <c r="J12" s="292">
        <f>'Market Data'!$O$52*'Mkt Pen Veh-Mi'!J12</f>
        <v>0</v>
      </c>
      <c r="K12" s="548">
        <f>'Market Data'!$O$52*'Mkt Pen Veh-Mi'!K12</f>
        <v>0</v>
      </c>
      <c r="L12" s="548">
        <f>'Market Data'!$O$52*'Mkt Pen Veh-Mi'!L12</f>
        <v>0</v>
      </c>
      <c r="M12" s="553">
        <f>'Market Data'!$O$52*'Mkt Pen Veh-Mi'!M12</f>
        <v>0</v>
      </c>
      <c r="N12" s="291">
        <f>'Market Data'!$Y$52*'Mkt Pen Veh-Mi'!N12</f>
        <v>8.967840728757831E-2</v>
      </c>
      <c r="O12" s="292">
        <f>'Market Data'!$Y$52*'Mkt Pen Veh-Mi'!O12</f>
        <v>0</v>
      </c>
      <c r="P12" s="292">
        <f>'Market Data'!$Y$52*'Mkt Pen Veh-Mi'!P12</f>
        <v>0</v>
      </c>
      <c r="Q12" s="548">
        <f>'Market Data'!$Y$52*'Mkt Pen Veh-Mi'!Q12</f>
        <v>0</v>
      </c>
      <c r="R12" s="548">
        <f>'Market Data'!$Y$52*'Mkt Pen Veh-Mi'!R12</f>
        <v>0</v>
      </c>
      <c r="S12" s="553">
        <f>'Market Data'!$Y$52*'Mkt Pen Veh-Mi'!S12</f>
        <v>0</v>
      </c>
      <c r="T12" s="291">
        <f t="shared" si="6"/>
        <v>0.99999999999999989</v>
      </c>
      <c r="U12" s="293">
        <f t="shared" si="7"/>
        <v>0</v>
      </c>
      <c r="X12" s="74"/>
    </row>
    <row r="13" spans="1:24" ht="15" x14ac:dyDescent="0.25">
      <c r="A13" s="294">
        <v>2011</v>
      </c>
      <c r="B13" s="295">
        <f>'Market Data'!$E$52*'Mkt Pen Veh-Mi'!B13</f>
        <v>0.66842924773992651</v>
      </c>
      <c r="C13" s="296">
        <f>'Market Data'!$E$52*'Mkt Pen Veh-Mi'!C13</f>
        <v>0</v>
      </c>
      <c r="D13" s="296">
        <f>'Market Data'!$E$52*'Mkt Pen Veh-Mi'!D13</f>
        <v>0</v>
      </c>
      <c r="E13" s="549">
        <f>'Market Data'!$E$52*'Mkt Pen Veh-Mi'!E13</f>
        <v>0</v>
      </c>
      <c r="F13" s="549">
        <f>'Market Data'!$E$52*'Mkt Pen Veh-Mi'!F13</f>
        <v>0</v>
      </c>
      <c r="G13" s="554">
        <f>'Market Data'!$E$52*'Mkt Pen Veh-Mi'!G13</f>
        <v>0</v>
      </c>
      <c r="H13" s="295">
        <f>'Market Data'!$O$52*'Mkt Pen Veh-Mi'!H13</f>
        <v>0.24189234497249509</v>
      </c>
      <c r="I13" s="296">
        <f>'Market Data'!$O$52*'Mkt Pen Veh-Mi'!I13</f>
        <v>0</v>
      </c>
      <c r="J13" s="296">
        <f>'Market Data'!$O$52*'Mkt Pen Veh-Mi'!J13</f>
        <v>0</v>
      </c>
      <c r="K13" s="549">
        <f>'Market Data'!$O$52*'Mkt Pen Veh-Mi'!K13</f>
        <v>0</v>
      </c>
      <c r="L13" s="549">
        <f>'Market Data'!$O$52*'Mkt Pen Veh-Mi'!L13</f>
        <v>0</v>
      </c>
      <c r="M13" s="554">
        <f>'Market Data'!$O$52*'Mkt Pen Veh-Mi'!M13</f>
        <v>0</v>
      </c>
      <c r="N13" s="295">
        <f>'Market Data'!$Y$52*'Mkt Pen Veh-Mi'!N13</f>
        <v>8.967840728757831E-2</v>
      </c>
      <c r="O13" s="296">
        <f>'Market Data'!$Y$52*'Mkt Pen Veh-Mi'!O13</f>
        <v>0</v>
      </c>
      <c r="P13" s="296">
        <f>'Market Data'!$Y$52*'Mkt Pen Veh-Mi'!P13</f>
        <v>0</v>
      </c>
      <c r="Q13" s="549">
        <f>'Market Data'!$Y$52*'Mkt Pen Veh-Mi'!Q13</f>
        <v>0</v>
      </c>
      <c r="R13" s="549">
        <f>'Market Data'!$Y$52*'Mkt Pen Veh-Mi'!R13</f>
        <v>0</v>
      </c>
      <c r="S13" s="554">
        <f>'Market Data'!$Y$52*'Mkt Pen Veh-Mi'!S13</f>
        <v>0</v>
      </c>
      <c r="T13" s="298">
        <f t="shared" si="6"/>
        <v>0.99999999999999989</v>
      </c>
      <c r="U13" s="299">
        <f t="shared" si="7"/>
        <v>0</v>
      </c>
      <c r="X13" s="74"/>
    </row>
    <row r="14" spans="1:24" ht="15" x14ac:dyDescent="0.25">
      <c r="A14" s="275">
        <v>2012</v>
      </c>
      <c r="B14" s="288">
        <f>'Market Data'!$E$52*'Mkt Pen Veh-Mi'!B14</f>
        <v>0.66842924773992651</v>
      </c>
      <c r="C14" s="289">
        <f>'Market Data'!$E$52*'Mkt Pen Veh-Mi'!C14</f>
        <v>0</v>
      </c>
      <c r="D14" s="289">
        <f>'Market Data'!$E$52*'Mkt Pen Veh-Mi'!D14</f>
        <v>0</v>
      </c>
      <c r="E14" s="547">
        <f>'Market Data'!$E$52*'Mkt Pen Veh-Mi'!E14</f>
        <v>0</v>
      </c>
      <c r="F14" s="547">
        <f>'Market Data'!$E$52*'Mkt Pen Veh-Mi'!F14</f>
        <v>0</v>
      </c>
      <c r="G14" s="552">
        <f>'Market Data'!$E$52*'Mkt Pen Veh-Mi'!G14</f>
        <v>0</v>
      </c>
      <c r="H14" s="288">
        <f>'Market Data'!$O$52*'Mkt Pen Veh-Mi'!H14</f>
        <v>0.24189234497249509</v>
      </c>
      <c r="I14" s="289">
        <f>'Market Data'!$O$52*'Mkt Pen Veh-Mi'!I14</f>
        <v>0</v>
      </c>
      <c r="J14" s="289">
        <f>'Market Data'!$O$52*'Mkt Pen Veh-Mi'!J14</f>
        <v>0</v>
      </c>
      <c r="K14" s="547">
        <f>'Market Data'!$O$52*'Mkt Pen Veh-Mi'!K14</f>
        <v>0</v>
      </c>
      <c r="L14" s="547">
        <f>'Market Data'!$O$52*'Mkt Pen Veh-Mi'!L14</f>
        <v>0</v>
      </c>
      <c r="M14" s="552">
        <f>'Market Data'!$O$52*'Mkt Pen Veh-Mi'!M14</f>
        <v>0</v>
      </c>
      <c r="N14" s="288">
        <f>'Market Data'!$Y$52*'Mkt Pen Veh-Mi'!N14</f>
        <v>8.967840728757831E-2</v>
      </c>
      <c r="O14" s="289">
        <f>'Market Data'!$Y$52*'Mkt Pen Veh-Mi'!O14</f>
        <v>0</v>
      </c>
      <c r="P14" s="289">
        <f>'Market Data'!$Y$52*'Mkt Pen Veh-Mi'!P14</f>
        <v>0</v>
      </c>
      <c r="Q14" s="547">
        <f>'Market Data'!$Y$52*'Mkt Pen Veh-Mi'!Q14</f>
        <v>0</v>
      </c>
      <c r="R14" s="547">
        <f>'Market Data'!$Y$52*'Mkt Pen Veh-Mi'!R14</f>
        <v>0</v>
      </c>
      <c r="S14" s="552">
        <f>'Market Data'!$Y$52*'Mkt Pen Veh-Mi'!S14</f>
        <v>0</v>
      </c>
      <c r="T14" s="288">
        <f t="shared" si="6"/>
        <v>0.99999999999999989</v>
      </c>
      <c r="U14" s="290">
        <f t="shared" si="7"/>
        <v>0</v>
      </c>
      <c r="X14" s="74"/>
    </row>
    <row r="15" spans="1:24" ht="15" x14ac:dyDescent="0.25">
      <c r="A15" s="275">
        <v>2013</v>
      </c>
      <c r="B15" s="288">
        <f>'Market Data'!$E$52*'Mkt Pen Veh-Mi'!B15</f>
        <v>0.66842924773992651</v>
      </c>
      <c r="C15" s="289">
        <f>'Market Data'!$E$52*'Mkt Pen Veh-Mi'!C15</f>
        <v>0</v>
      </c>
      <c r="D15" s="289">
        <f>'Market Data'!$E$52*'Mkt Pen Veh-Mi'!D15</f>
        <v>0</v>
      </c>
      <c r="E15" s="547">
        <f>'Market Data'!$E$52*'Mkt Pen Veh-Mi'!E15</f>
        <v>0</v>
      </c>
      <c r="F15" s="547">
        <f>'Market Data'!$E$52*'Mkt Pen Veh-Mi'!F15</f>
        <v>0</v>
      </c>
      <c r="G15" s="552">
        <f>'Market Data'!$E$52*'Mkt Pen Veh-Mi'!G15</f>
        <v>0</v>
      </c>
      <c r="H15" s="288">
        <f>'Market Data'!$O$52*'Mkt Pen Veh-Mi'!H15</f>
        <v>0.24189234497249509</v>
      </c>
      <c r="I15" s="289">
        <f>'Market Data'!$O$52*'Mkt Pen Veh-Mi'!I15</f>
        <v>0</v>
      </c>
      <c r="J15" s="289">
        <f>'Market Data'!$O$52*'Mkt Pen Veh-Mi'!J15</f>
        <v>0</v>
      </c>
      <c r="K15" s="547">
        <f>'Market Data'!$O$52*'Mkt Pen Veh-Mi'!K15</f>
        <v>0</v>
      </c>
      <c r="L15" s="547">
        <f>'Market Data'!$O$52*'Mkt Pen Veh-Mi'!L15</f>
        <v>0</v>
      </c>
      <c r="M15" s="552">
        <f>'Market Data'!$O$52*'Mkt Pen Veh-Mi'!M15</f>
        <v>0</v>
      </c>
      <c r="N15" s="288">
        <f>'Market Data'!$Y$52*'Mkt Pen Veh-Mi'!N15</f>
        <v>8.967840728757831E-2</v>
      </c>
      <c r="O15" s="289">
        <f>'Market Data'!$Y$52*'Mkt Pen Veh-Mi'!O15</f>
        <v>0</v>
      </c>
      <c r="P15" s="289">
        <f>'Market Data'!$Y$52*'Mkt Pen Veh-Mi'!P15</f>
        <v>0</v>
      </c>
      <c r="Q15" s="547">
        <f>'Market Data'!$Y$52*'Mkt Pen Veh-Mi'!Q15</f>
        <v>0</v>
      </c>
      <c r="R15" s="547">
        <f>'Market Data'!$Y$52*'Mkt Pen Veh-Mi'!R15</f>
        <v>0</v>
      </c>
      <c r="S15" s="552">
        <f>'Market Data'!$Y$52*'Mkt Pen Veh-Mi'!S15</f>
        <v>0</v>
      </c>
      <c r="T15" s="288">
        <f t="shared" si="6"/>
        <v>0.99999999999999989</v>
      </c>
      <c r="U15" s="290">
        <f t="shared" si="7"/>
        <v>0</v>
      </c>
      <c r="X15" s="74"/>
    </row>
    <row r="16" spans="1:24" ht="15" x14ac:dyDescent="0.25">
      <c r="A16" s="275">
        <v>2014</v>
      </c>
      <c r="B16" s="288">
        <f>'Market Data'!$E$52*'Mkt Pen Veh-Mi'!B16</f>
        <v>0.66842924773992651</v>
      </c>
      <c r="C16" s="289">
        <f>'Market Data'!$E$52*'Mkt Pen Veh-Mi'!C16</f>
        <v>0</v>
      </c>
      <c r="D16" s="289">
        <f>'Market Data'!$E$52*'Mkt Pen Veh-Mi'!D16</f>
        <v>0</v>
      </c>
      <c r="E16" s="547">
        <f>'Market Data'!$E$52*'Mkt Pen Veh-Mi'!E16</f>
        <v>0</v>
      </c>
      <c r="F16" s="547">
        <f>'Market Data'!$E$52*'Mkt Pen Veh-Mi'!F16</f>
        <v>0</v>
      </c>
      <c r="G16" s="552">
        <f>'Market Data'!$E$52*'Mkt Pen Veh-Mi'!G16</f>
        <v>0</v>
      </c>
      <c r="H16" s="288">
        <f>'Market Data'!$O$52*'Mkt Pen Veh-Mi'!H16</f>
        <v>0.24189234497249509</v>
      </c>
      <c r="I16" s="289">
        <f>'Market Data'!$O$52*'Mkt Pen Veh-Mi'!I16</f>
        <v>0</v>
      </c>
      <c r="J16" s="289">
        <f>'Market Data'!$O$52*'Mkt Pen Veh-Mi'!J16</f>
        <v>0</v>
      </c>
      <c r="K16" s="547">
        <f>'Market Data'!$O$52*'Mkt Pen Veh-Mi'!K16</f>
        <v>0</v>
      </c>
      <c r="L16" s="547">
        <f>'Market Data'!$O$52*'Mkt Pen Veh-Mi'!L16</f>
        <v>0</v>
      </c>
      <c r="M16" s="552">
        <f>'Market Data'!$O$52*'Mkt Pen Veh-Mi'!M16</f>
        <v>0</v>
      </c>
      <c r="N16" s="288">
        <f>'Market Data'!$Y$52*'Mkt Pen Veh-Mi'!N16</f>
        <v>8.967840728757831E-2</v>
      </c>
      <c r="O16" s="289">
        <f>'Market Data'!$Y$52*'Mkt Pen Veh-Mi'!O16</f>
        <v>0</v>
      </c>
      <c r="P16" s="289">
        <f>'Market Data'!$Y$52*'Mkt Pen Veh-Mi'!P16</f>
        <v>0</v>
      </c>
      <c r="Q16" s="547">
        <f>'Market Data'!$Y$52*'Mkt Pen Veh-Mi'!Q16</f>
        <v>0</v>
      </c>
      <c r="R16" s="547">
        <f>'Market Data'!$Y$52*'Mkt Pen Veh-Mi'!R16</f>
        <v>0</v>
      </c>
      <c r="S16" s="552">
        <f>'Market Data'!$Y$52*'Mkt Pen Veh-Mi'!S16</f>
        <v>0</v>
      </c>
      <c r="T16" s="288">
        <f t="shared" si="6"/>
        <v>0.99999999999999989</v>
      </c>
      <c r="U16" s="290">
        <f t="shared" si="7"/>
        <v>0</v>
      </c>
      <c r="X16" s="74"/>
    </row>
    <row r="17" spans="1:24" ht="15" x14ac:dyDescent="0.25">
      <c r="A17" s="274">
        <v>2015</v>
      </c>
      <c r="B17" s="291">
        <f>'Market Data'!$E$52*'Mkt Pen Veh-Mi'!B17</f>
        <v>0.66842924773992651</v>
      </c>
      <c r="C17" s="292">
        <f>'Market Data'!$E$52*'Mkt Pen Veh-Mi'!C17</f>
        <v>0</v>
      </c>
      <c r="D17" s="292">
        <f>'Market Data'!$E$52*'Mkt Pen Veh-Mi'!D17</f>
        <v>0</v>
      </c>
      <c r="E17" s="548">
        <f>'Market Data'!$E$52*'Mkt Pen Veh-Mi'!E17</f>
        <v>0</v>
      </c>
      <c r="F17" s="548">
        <f>'Market Data'!$E$52*'Mkt Pen Veh-Mi'!F17</f>
        <v>0</v>
      </c>
      <c r="G17" s="553">
        <f>'Market Data'!$E$52*'Mkt Pen Veh-Mi'!G17</f>
        <v>0</v>
      </c>
      <c r="H17" s="291">
        <f>'Market Data'!$O$52*'Mkt Pen Veh-Mi'!H17</f>
        <v>0.24189234497249509</v>
      </c>
      <c r="I17" s="292">
        <f>'Market Data'!$O$52*'Mkt Pen Veh-Mi'!I17</f>
        <v>0</v>
      </c>
      <c r="J17" s="292">
        <f>'Market Data'!$O$52*'Mkt Pen Veh-Mi'!J17</f>
        <v>0</v>
      </c>
      <c r="K17" s="548">
        <f>'Market Data'!$O$52*'Mkt Pen Veh-Mi'!K17</f>
        <v>0</v>
      </c>
      <c r="L17" s="548">
        <f>'Market Data'!$O$52*'Mkt Pen Veh-Mi'!L17</f>
        <v>0</v>
      </c>
      <c r="M17" s="553">
        <f>'Market Data'!$O$52*'Mkt Pen Veh-Mi'!M17</f>
        <v>0</v>
      </c>
      <c r="N17" s="291">
        <f>'Market Data'!$Y$52*'Mkt Pen Veh-Mi'!N17</f>
        <v>8.967840728757831E-2</v>
      </c>
      <c r="O17" s="292">
        <f>'Market Data'!$Y$52*'Mkt Pen Veh-Mi'!O17</f>
        <v>0</v>
      </c>
      <c r="P17" s="292">
        <f>'Market Data'!$Y$52*'Mkt Pen Veh-Mi'!P17</f>
        <v>0</v>
      </c>
      <c r="Q17" s="548">
        <f>'Market Data'!$Y$52*'Mkt Pen Veh-Mi'!Q17</f>
        <v>0</v>
      </c>
      <c r="R17" s="548">
        <f>'Market Data'!$Y$52*'Mkt Pen Veh-Mi'!R17</f>
        <v>0</v>
      </c>
      <c r="S17" s="553">
        <f>'Market Data'!$Y$52*'Mkt Pen Veh-Mi'!S17</f>
        <v>0</v>
      </c>
      <c r="T17" s="291">
        <f t="shared" si="6"/>
        <v>0.99999999999999989</v>
      </c>
      <c r="U17" s="293">
        <f t="shared" si="7"/>
        <v>0</v>
      </c>
      <c r="X17" s="74"/>
    </row>
    <row r="18" spans="1:24" ht="15" x14ac:dyDescent="0.25">
      <c r="A18" s="294">
        <v>2016</v>
      </c>
      <c r="B18" s="295">
        <f>'Market Data'!$E$52*'Mkt Pen Veh-Mi'!B18</f>
        <v>0.66842924773992651</v>
      </c>
      <c r="C18" s="296">
        <f>'Market Data'!$E$52*'Mkt Pen Veh-Mi'!C18</f>
        <v>0</v>
      </c>
      <c r="D18" s="296">
        <f>'Market Data'!$E$52*'Mkt Pen Veh-Mi'!D18</f>
        <v>0</v>
      </c>
      <c r="E18" s="549">
        <f>'Market Data'!$E$52*'Mkt Pen Veh-Mi'!E18</f>
        <v>0</v>
      </c>
      <c r="F18" s="549">
        <f>'Market Data'!$E$52*'Mkt Pen Veh-Mi'!F18</f>
        <v>0</v>
      </c>
      <c r="G18" s="554">
        <f>'Market Data'!$E$52*'Mkt Pen Veh-Mi'!G18</f>
        <v>0</v>
      </c>
      <c r="H18" s="295">
        <f>'Market Data'!$O$52*'Mkt Pen Veh-Mi'!H18</f>
        <v>0.24189234497249509</v>
      </c>
      <c r="I18" s="296">
        <f>'Market Data'!$O$52*'Mkt Pen Veh-Mi'!I18</f>
        <v>0</v>
      </c>
      <c r="J18" s="296">
        <f>'Market Data'!$O$52*'Mkt Pen Veh-Mi'!J18</f>
        <v>0</v>
      </c>
      <c r="K18" s="549">
        <f>'Market Data'!$O$52*'Mkt Pen Veh-Mi'!K18</f>
        <v>0</v>
      </c>
      <c r="L18" s="549">
        <f>'Market Data'!$O$52*'Mkt Pen Veh-Mi'!L18</f>
        <v>0</v>
      </c>
      <c r="M18" s="554">
        <f>'Market Data'!$O$52*'Mkt Pen Veh-Mi'!M18</f>
        <v>0</v>
      </c>
      <c r="N18" s="295">
        <f>'Market Data'!$Y$52*'Mkt Pen Veh-Mi'!N18</f>
        <v>8.967840728757831E-2</v>
      </c>
      <c r="O18" s="296">
        <f>'Market Data'!$Y$52*'Mkt Pen Veh-Mi'!O18</f>
        <v>0</v>
      </c>
      <c r="P18" s="296">
        <f>'Market Data'!$Y$52*'Mkt Pen Veh-Mi'!P18</f>
        <v>0</v>
      </c>
      <c r="Q18" s="549">
        <f>'Market Data'!$Y$52*'Mkt Pen Veh-Mi'!Q18</f>
        <v>0</v>
      </c>
      <c r="R18" s="549">
        <f>'Market Data'!$Y$52*'Mkt Pen Veh-Mi'!R18</f>
        <v>0</v>
      </c>
      <c r="S18" s="554">
        <f>'Market Data'!$Y$52*'Mkt Pen Veh-Mi'!S18</f>
        <v>0</v>
      </c>
      <c r="T18" s="298">
        <f t="shared" si="6"/>
        <v>0.99999999999999989</v>
      </c>
      <c r="U18" s="299">
        <f>SUM(C18:G18)+SUM(I18:M18)+SUM(O18:S18)</f>
        <v>0</v>
      </c>
      <c r="X18" s="74"/>
    </row>
    <row r="19" spans="1:24" ht="15" x14ac:dyDescent="0.25">
      <c r="A19" s="275">
        <v>2017</v>
      </c>
      <c r="B19" s="288">
        <f>'Market Data'!$E$52*'Mkt Pen Veh-Mi'!B19</f>
        <v>0.66842924773992651</v>
      </c>
      <c r="C19" s="289">
        <f>'Market Data'!$E$52*'Mkt Pen Veh-Mi'!C19</f>
        <v>0</v>
      </c>
      <c r="D19" s="289">
        <f>'Market Data'!$E$52*'Mkt Pen Veh-Mi'!D19</f>
        <v>0</v>
      </c>
      <c r="E19" s="547">
        <f>'Market Data'!$E$52*'Mkt Pen Veh-Mi'!E19</f>
        <v>0</v>
      </c>
      <c r="F19" s="547">
        <f>'Market Data'!$E$52*'Mkt Pen Veh-Mi'!F19</f>
        <v>0</v>
      </c>
      <c r="G19" s="552">
        <f>'Market Data'!$E$52*'Mkt Pen Veh-Mi'!G19</f>
        <v>0</v>
      </c>
      <c r="H19" s="288">
        <f>'Market Data'!$O$52*'Mkt Pen Veh-Mi'!H19</f>
        <v>0.24189234497249509</v>
      </c>
      <c r="I19" s="289">
        <f>'Market Data'!$O$52*'Mkt Pen Veh-Mi'!I19</f>
        <v>0</v>
      </c>
      <c r="J19" s="289">
        <f>'Market Data'!$O$52*'Mkt Pen Veh-Mi'!J19</f>
        <v>0</v>
      </c>
      <c r="K19" s="547">
        <f>'Market Data'!$O$52*'Mkt Pen Veh-Mi'!K19</f>
        <v>0</v>
      </c>
      <c r="L19" s="547">
        <f>'Market Data'!$O$52*'Mkt Pen Veh-Mi'!L19</f>
        <v>0</v>
      </c>
      <c r="M19" s="552">
        <f>'Market Data'!$O$52*'Mkt Pen Veh-Mi'!M19</f>
        <v>0</v>
      </c>
      <c r="N19" s="288">
        <f>'Market Data'!$Y$52*'Mkt Pen Veh-Mi'!N19</f>
        <v>8.967840728757831E-2</v>
      </c>
      <c r="O19" s="289">
        <f>'Market Data'!$Y$52*'Mkt Pen Veh-Mi'!O19</f>
        <v>0</v>
      </c>
      <c r="P19" s="289">
        <f>'Market Data'!$Y$52*'Mkt Pen Veh-Mi'!P19</f>
        <v>0</v>
      </c>
      <c r="Q19" s="547">
        <f>'Market Data'!$Y$52*'Mkt Pen Veh-Mi'!Q19</f>
        <v>0</v>
      </c>
      <c r="R19" s="547">
        <f>'Market Data'!$Y$52*'Mkt Pen Veh-Mi'!R19</f>
        <v>0</v>
      </c>
      <c r="S19" s="552">
        <f>'Market Data'!$Y$52*'Mkt Pen Veh-Mi'!S19</f>
        <v>0</v>
      </c>
      <c r="T19" s="288">
        <f t="shared" si="6"/>
        <v>0.99999999999999989</v>
      </c>
      <c r="U19" s="290">
        <f t="shared" ref="U19:U52" si="8">SUM(C19:G19)+SUM(I19:M19)+SUM(O19:S19)</f>
        <v>0</v>
      </c>
      <c r="X19" s="74"/>
    </row>
    <row r="20" spans="1:24" ht="15" x14ac:dyDescent="0.25">
      <c r="A20" s="275">
        <v>2018</v>
      </c>
      <c r="B20" s="288">
        <f>'Market Data'!$E$52*'Mkt Pen Veh-Mi'!B20</f>
        <v>0.66842924773992651</v>
      </c>
      <c r="C20" s="289">
        <f>'Market Data'!$E$52*'Mkt Pen Veh-Mi'!C20</f>
        <v>0</v>
      </c>
      <c r="D20" s="289">
        <f>'Market Data'!$E$52*'Mkt Pen Veh-Mi'!D20</f>
        <v>0</v>
      </c>
      <c r="E20" s="547">
        <f>'Market Data'!$E$52*'Mkt Pen Veh-Mi'!E20</f>
        <v>0</v>
      </c>
      <c r="F20" s="547">
        <f>'Market Data'!$E$52*'Mkt Pen Veh-Mi'!F20</f>
        <v>0</v>
      </c>
      <c r="G20" s="552">
        <f>'Market Data'!$E$52*'Mkt Pen Veh-Mi'!G20</f>
        <v>0</v>
      </c>
      <c r="H20" s="288">
        <f>'Market Data'!$O$52*'Mkt Pen Veh-Mi'!H20</f>
        <v>0.24189234497249509</v>
      </c>
      <c r="I20" s="289">
        <f>'Market Data'!$O$52*'Mkt Pen Veh-Mi'!I20</f>
        <v>0</v>
      </c>
      <c r="J20" s="289">
        <f>'Market Data'!$O$52*'Mkt Pen Veh-Mi'!J20</f>
        <v>0</v>
      </c>
      <c r="K20" s="547">
        <f>'Market Data'!$O$52*'Mkt Pen Veh-Mi'!K20</f>
        <v>0</v>
      </c>
      <c r="L20" s="547">
        <f>'Market Data'!$O$52*'Mkt Pen Veh-Mi'!L20</f>
        <v>0</v>
      </c>
      <c r="M20" s="552">
        <f>'Market Data'!$O$52*'Mkt Pen Veh-Mi'!M20</f>
        <v>0</v>
      </c>
      <c r="N20" s="288">
        <f>'Market Data'!$Y$52*'Mkt Pen Veh-Mi'!N20</f>
        <v>8.967840728757831E-2</v>
      </c>
      <c r="O20" s="289">
        <f>'Market Data'!$Y$52*'Mkt Pen Veh-Mi'!O20</f>
        <v>0</v>
      </c>
      <c r="P20" s="289">
        <f>'Market Data'!$Y$52*'Mkt Pen Veh-Mi'!P20</f>
        <v>0</v>
      </c>
      <c r="Q20" s="547">
        <f>'Market Data'!$Y$52*'Mkt Pen Veh-Mi'!Q20</f>
        <v>0</v>
      </c>
      <c r="R20" s="547">
        <f>'Market Data'!$Y$52*'Mkt Pen Veh-Mi'!R20</f>
        <v>0</v>
      </c>
      <c r="S20" s="552">
        <f>'Market Data'!$Y$52*'Mkt Pen Veh-Mi'!S20</f>
        <v>0</v>
      </c>
      <c r="T20" s="288">
        <f t="shared" si="6"/>
        <v>0.99999999999999989</v>
      </c>
      <c r="U20" s="290">
        <f t="shared" si="8"/>
        <v>0</v>
      </c>
      <c r="X20" s="74"/>
    </row>
    <row r="21" spans="1:24" ht="15" x14ac:dyDescent="0.25">
      <c r="A21" s="275">
        <v>2019</v>
      </c>
      <c r="B21" s="288">
        <f>'Market Data'!$E$52*'Mkt Pen Veh-Mi'!B21</f>
        <v>0.66842924773992651</v>
      </c>
      <c r="C21" s="289">
        <f>'Market Data'!$E$52*'Mkt Pen Veh-Mi'!C21</f>
        <v>0</v>
      </c>
      <c r="D21" s="289">
        <f>'Market Data'!$E$52*'Mkt Pen Veh-Mi'!D21</f>
        <v>0</v>
      </c>
      <c r="E21" s="547">
        <f>'Market Data'!$E$52*'Mkt Pen Veh-Mi'!E21</f>
        <v>0</v>
      </c>
      <c r="F21" s="547">
        <f>'Market Data'!$E$52*'Mkt Pen Veh-Mi'!F21</f>
        <v>0</v>
      </c>
      <c r="G21" s="552">
        <f>'Market Data'!$E$52*'Mkt Pen Veh-Mi'!G21</f>
        <v>0</v>
      </c>
      <c r="H21" s="288">
        <f>'Market Data'!$O$52*'Mkt Pen Veh-Mi'!H21</f>
        <v>0.24189234497249509</v>
      </c>
      <c r="I21" s="289">
        <f>'Market Data'!$O$52*'Mkt Pen Veh-Mi'!I21</f>
        <v>0</v>
      </c>
      <c r="J21" s="289">
        <f>'Market Data'!$O$52*'Mkt Pen Veh-Mi'!J21</f>
        <v>0</v>
      </c>
      <c r="K21" s="547">
        <f>'Market Data'!$O$52*'Mkt Pen Veh-Mi'!K21</f>
        <v>0</v>
      </c>
      <c r="L21" s="547">
        <f>'Market Data'!$O$52*'Mkt Pen Veh-Mi'!L21</f>
        <v>0</v>
      </c>
      <c r="M21" s="552">
        <f>'Market Data'!$O$52*'Mkt Pen Veh-Mi'!M21</f>
        <v>0</v>
      </c>
      <c r="N21" s="288">
        <f>'Market Data'!$Y$52*'Mkt Pen Veh-Mi'!N21</f>
        <v>8.967840728757831E-2</v>
      </c>
      <c r="O21" s="289">
        <f>'Market Data'!$Y$52*'Mkt Pen Veh-Mi'!O21</f>
        <v>0</v>
      </c>
      <c r="P21" s="289">
        <f>'Market Data'!$Y$52*'Mkt Pen Veh-Mi'!P21</f>
        <v>0</v>
      </c>
      <c r="Q21" s="547">
        <f>'Market Data'!$Y$52*'Mkt Pen Veh-Mi'!Q21</f>
        <v>0</v>
      </c>
      <c r="R21" s="547">
        <f>'Market Data'!$Y$52*'Mkt Pen Veh-Mi'!R21</f>
        <v>0</v>
      </c>
      <c r="S21" s="552">
        <f>'Market Data'!$Y$52*'Mkt Pen Veh-Mi'!S21</f>
        <v>0</v>
      </c>
      <c r="T21" s="288">
        <f t="shared" si="6"/>
        <v>0.99999999999999989</v>
      </c>
      <c r="U21" s="290">
        <f t="shared" si="8"/>
        <v>0</v>
      </c>
      <c r="X21" s="74"/>
    </row>
    <row r="22" spans="1:24" ht="15" x14ac:dyDescent="0.25">
      <c r="A22" s="274">
        <v>2020</v>
      </c>
      <c r="B22" s="291">
        <f>'Market Data'!$E$52*'Mkt Pen Veh-Mi'!B22</f>
        <v>0.66842924773992651</v>
      </c>
      <c r="C22" s="292">
        <f>'Market Data'!$E$52*'Mkt Pen Veh-Mi'!C22</f>
        <v>0</v>
      </c>
      <c r="D22" s="292">
        <f>'Market Data'!$E$52*'Mkt Pen Veh-Mi'!D22</f>
        <v>0</v>
      </c>
      <c r="E22" s="548">
        <f>'Market Data'!$E$52*'Mkt Pen Veh-Mi'!E22</f>
        <v>0</v>
      </c>
      <c r="F22" s="548">
        <f>'Market Data'!$E$52*'Mkt Pen Veh-Mi'!F22</f>
        <v>0</v>
      </c>
      <c r="G22" s="553">
        <f>'Market Data'!$E$52*'Mkt Pen Veh-Mi'!G22</f>
        <v>0</v>
      </c>
      <c r="H22" s="291">
        <f>'Market Data'!$O$52*'Mkt Pen Veh-Mi'!H22</f>
        <v>0.24189234497249509</v>
      </c>
      <c r="I22" s="292">
        <f>'Market Data'!$O$52*'Mkt Pen Veh-Mi'!I22</f>
        <v>0</v>
      </c>
      <c r="J22" s="292">
        <f>'Market Data'!$O$52*'Mkt Pen Veh-Mi'!J22</f>
        <v>0</v>
      </c>
      <c r="K22" s="548">
        <f>'Market Data'!$O$52*'Mkt Pen Veh-Mi'!K22</f>
        <v>0</v>
      </c>
      <c r="L22" s="548">
        <f>'Market Data'!$O$52*'Mkt Pen Veh-Mi'!L22</f>
        <v>0</v>
      </c>
      <c r="M22" s="553">
        <f>'Market Data'!$O$52*'Mkt Pen Veh-Mi'!M22</f>
        <v>0</v>
      </c>
      <c r="N22" s="291">
        <f>'Market Data'!$Y$52*'Mkt Pen Veh-Mi'!N22</f>
        <v>8.967840728757831E-2</v>
      </c>
      <c r="O22" s="292">
        <f>'Market Data'!$Y$52*'Mkt Pen Veh-Mi'!O22</f>
        <v>0</v>
      </c>
      <c r="P22" s="292">
        <f>'Market Data'!$Y$52*'Mkt Pen Veh-Mi'!P22</f>
        <v>0</v>
      </c>
      <c r="Q22" s="548">
        <f>'Market Data'!$Y$52*'Mkt Pen Veh-Mi'!Q22</f>
        <v>0</v>
      </c>
      <c r="R22" s="548">
        <f>'Market Data'!$Y$52*'Mkt Pen Veh-Mi'!R22</f>
        <v>0</v>
      </c>
      <c r="S22" s="553">
        <f>'Market Data'!$Y$52*'Mkt Pen Veh-Mi'!S22</f>
        <v>0</v>
      </c>
      <c r="T22" s="291">
        <f t="shared" si="6"/>
        <v>0.99999999999999989</v>
      </c>
      <c r="U22" s="293">
        <f t="shared" si="8"/>
        <v>0</v>
      </c>
      <c r="X22" s="74"/>
    </row>
    <row r="23" spans="1:24" ht="15" x14ac:dyDescent="0.25">
      <c r="A23" s="294">
        <v>2021</v>
      </c>
      <c r="B23" s="295">
        <f>'Market Data'!$E$52*'Mkt Pen Veh-Mi'!B23</f>
        <v>0.66842924773992651</v>
      </c>
      <c r="C23" s="296">
        <f>'Market Data'!$E$52*'Mkt Pen Veh-Mi'!C23</f>
        <v>0</v>
      </c>
      <c r="D23" s="296">
        <f>'Market Data'!$E$52*'Mkt Pen Veh-Mi'!D23</f>
        <v>0</v>
      </c>
      <c r="E23" s="549">
        <f>'Market Data'!$E$52*'Mkt Pen Veh-Mi'!E23</f>
        <v>0</v>
      </c>
      <c r="F23" s="549">
        <f>'Market Data'!$E$52*'Mkt Pen Veh-Mi'!F23</f>
        <v>0</v>
      </c>
      <c r="G23" s="554">
        <f>'Market Data'!$E$52*'Mkt Pen Veh-Mi'!G23</f>
        <v>0</v>
      </c>
      <c r="H23" s="295">
        <f>'Market Data'!$O$52*'Mkt Pen Veh-Mi'!H23</f>
        <v>0.24189234497249509</v>
      </c>
      <c r="I23" s="296">
        <f>'Market Data'!$O$52*'Mkt Pen Veh-Mi'!I23</f>
        <v>0</v>
      </c>
      <c r="J23" s="296">
        <f>'Market Data'!$O$52*'Mkt Pen Veh-Mi'!J23</f>
        <v>0</v>
      </c>
      <c r="K23" s="549">
        <f>'Market Data'!$O$52*'Mkt Pen Veh-Mi'!K23</f>
        <v>0</v>
      </c>
      <c r="L23" s="549">
        <f>'Market Data'!$O$52*'Mkt Pen Veh-Mi'!L23</f>
        <v>0</v>
      </c>
      <c r="M23" s="554">
        <f>'Market Data'!$O$52*'Mkt Pen Veh-Mi'!M23</f>
        <v>0</v>
      </c>
      <c r="N23" s="295">
        <f>'Market Data'!$Y$52*'Mkt Pen Veh-Mi'!N23</f>
        <v>8.967840728757831E-2</v>
      </c>
      <c r="O23" s="296">
        <f>'Market Data'!$Y$52*'Mkt Pen Veh-Mi'!O23</f>
        <v>0</v>
      </c>
      <c r="P23" s="296">
        <f>'Market Data'!$Y$52*'Mkt Pen Veh-Mi'!P23</f>
        <v>0</v>
      </c>
      <c r="Q23" s="549">
        <f>'Market Data'!$Y$52*'Mkt Pen Veh-Mi'!Q23</f>
        <v>0</v>
      </c>
      <c r="R23" s="549">
        <f>'Market Data'!$Y$52*'Mkt Pen Veh-Mi'!R23</f>
        <v>0</v>
      </c>
      <c r="S23" s="554">
        <f>'Market Data'!$Y$52*'Mkt Pen Veh-Mi'!S23</f>
        <v>0</v>
      </c>
      <c r="T23" s="298">
        <f t="shared" si="6"/>
        <v>0.99999999999999989</v>
      </c>
      <c r="U23" s="299">
        <f t="shared" si="8"/>
        <v>0</v>
      </c>
      <c r="X23" s="74"/>
    </row>
    <row r="24" spans="1:24" ht="15" x14ac:dyDescent="0.25">
      <c r="A24" s="275">
        <v>2022</v>
      </c>
      <c r="B24" s="288">
        <f>'Market Data'!$E$52*'Mkt Pen Veh-Mi'!B24</f>
        <v>0.66842924773992651</v>
      </c>
      <c r="C24" s="289">
        <f>'Market Data'!$E$52*'Mkt Pen Veh-Mi'!C24</f>
        <v>0</v>
      </c>
      <c r="D24" s="289">
        <f>'Market Data'!$E$52*'Mkt Pen Veh-Mi'!D24</f>
        <v>0</v>
      </c>
      <c r="E24" s="547">
        <f>'Market Data'!$E$52*'Mkt Pen Veh-Mi'!E24</f>
        <v>0</v>
      </c>
      <c r="F24" s="547">
        <f>'Market Data'!$E$52*'Mkt Pen Veh-Mi'!F24</f>
        <v>0</v>
      </c>
      <c r="G24" s="552">
        <f>'Market Data'!$E$52*'Mkt Pen Veh-Mi'!G24</f>
        <v>0</v>
      </c>
      <c r="H24" s="288">
        <f>'Market Data'!$O$52*'Mkt Pen Veh-Mi'!H24</f>
        <v>0.24189234497249509</v>
      </c>
      <c r="I24" s="289">
        <f>'Market Data'!$O$52*'Mkt Pen Veh-Mi'!I24</f>
        <v>0</v>
      </c>
      <c r="J24" s="289">
        <f>'Market Data'!$O$52*'Mkt Pen Veh-Mi'!J24</f>
        <v>0</v>
      </c>
      <c r="K24" s="547">
        <f>'Market Data'!$O$52*'Mkt Pen Veh-Mi'!K24</f>
        <v>0</v>
      </c>
      <c r="L24" s="547">
        <f>'Market Data'!$O$52*'Mkt Pen Veh-Mi'!L24</f>
        <v>0</v>
      </c>
      <c r="M24" s="552">
        <f>'Market Data'!$O$52*'Mkt Pen Veh-Mi'!M24</f>
        <v>0</v>
      </c>
      <c r="N24" s="288">
        <f>'Market Data'!$Y$52*'Mkt Pen Veh-Mi'!N24</f>
        <v>8.967840728757831E-2</v>
      </c>
      <c r="O24" s="289">
        <f>'Market Data'!$Y$52*'Mkt Pen Veh-Mi'!O24</f>
        <v>0</v>
      </c>
      <c r="P24" s="289">
        <f>'Market Data'!$Y$52*'Mkt Pen Veh-Mi'!P24</f>
        <v>0</v>
      </c>
      <c r="Q24" s="547">
        <f>'Market Data'!$Y$52*'Mkt Pen Veh-Mi'!Q24</f>
        <v>0</v>
      </c>
      <c r="R24" s="547">
        <f>'Market Data'!$Y$52*'Mkt Pen Veh-Mi'!R24</f>
        <v>0</v>
      </c>
      <c r="S24" s="552">
        <f>'Market Data'!$Y$52*'Mkt Pen Veh-Mi'!S24</f>
        <v>0</v>
      </c>
      <c r="T24" s="288">
        <f t="shared" si="6"/>
        <v>0.99999999999999989</v>
      </c>
      <c r="U24" s="290">
        <f t="shared" si="8"/>
        <v>0</v>
      </c>
      <c r="X24" s="74"/>
    </row>
    <row r="25" spans="1:24" ht="15" x14ac:dyDescent="0.25">
      <c r="A25" s="275">
        <v>2023</v>
      </c>
      <c r="B25" s="288">
        <f>'Market Data'!$E$52*'Mkt Pen Veh-Mi'!B25</f>
        <v>0.66842924773992651</v>
      </c>
      <c r="C25" s="289">
        <f>'Market Data'!$E$52*'Mkt Pen Veh-Mi'!C25</f>
        <v>0</v>
      </c>
      <c r="D25" s="289">
        <f>'Market Data'!$E$52*'Mkt Pen Veh-Mi'!D25</f>
        <v>0</v>
      </c>
      <c r="E25" s="547">
        <f>'Market Data'!$E$52*'Mkt Pen Veh-Mi'!E25</f>
        <v>0</v>
      </c>
      <c r="F25" s="547">
        <f>'Market Data'!$E$52*'Mkt Pen Veh-Mi'!F25</f>
        <v>0</v>
      </c>
      <c r="G25" s="552">
        <f>'Market Data'!$E$52*'Mkt Pen Veh-Mi'!G25</f>
        <v>0</v>
      </c>
      <c r="H25" s="288">
        <f>'Market Data'!$O$52*'Mkt Pen Veh-Mi'!H25</f>
        <v>0.24189234497249509</v>
      </c>
      <c r="I25" s="289">
        <f>'Market Data'!$O$52*'Mkt Pen Veh-Mi'!I25</f>
        <v>0</v>
      </c>
      <c r="J25" s="289">
        <f>'Market Data'!$O$52*'Mkt Pen Veh-Mi'!J25</f>
        <v>0</v>
      </c>
      <c r="K25" s="547">
        <f>'Market Data'!$O$52*'Mkt Pen Veh-Mi'!K25</f>
        <v>0</v>
      </c>
      <c r="L25" s="547">
        <f>'Market Data'!$O$52*'Mkt Pen Veh-Mi'!L25</f>
        <v>0</v>
      </c>
      <c r="M25" s="552">
        <f>'Market Data'!$O$52*'Mkt Pen Veh-Mi'!M25</f>
        <v>0</v>
      </c>
      <c r="N25" s="288">
        <f>'Market Data'!$Y$52*'Mkt Pen Veh-Mi'!N25</f>
        <v>8.967840728757831E-2</v>
      </c>
      <c r="O25" s="289">
        <f>'Market Data'!$Y$52*'Mkt Pen Veh-Mi'!O25</f>
        <v>0</v>
      </c>
      <c r="P25" s="289">
        <f>'Market Data'!$Y$52*'Mkt Pen Veh-Mi'!P25</f>
        <v>0</v>
      </c>
      <c r="Q25" s="547">
        <f>'Market Data'!$Y$52*'Mkt Pen Veh-Mi'!Q25</f>
        <v>0</v>
      </c>
      <c r="R25" s="547">
        <f>'Market Data'!$Y$52*'Mkt Pen Veh-Mi'!R25</f>
        <v>0</v>
      </c>
      <c r="S25" s="552">
        <f>'Market Data'!$Y$52*'Mkt Pen Veh-Mi'!S25</f>
        <v>0</v>
      </c>
      <c r="T25" s="288">
        <f t="shared" si="6"/>
        <v>0.99999999999999989</v>
      </c>
      <c r="U25" s="290">
        <f t="shared" si="8"/>
        <v>0</v>
      </c>
      <c r="X25" s="74"/>
    </row>
    <row r="26" spans="1:24" ht="15" x14ac:dyDescent="0.25">
      <c r="A26" s="275">
        <v>2024</v>
      </c>
      <c r="B26" s="288">
        <f>'Market Data'!$E$52*'Mkt Pen Veh-Mi'!B26</f>
        <v>0.66842924773992651</v>
      </c>
      <c r="C26" s="289">
        <f>'Market Data'!$E$52*'Mkt Pen Veh-Mi'!C26</f>
        <v>0</v>
      </c>
      <c r="D26" s="289">
        <f>'Market Data'!$E$52*'Mkt Pen Veh-Mi'!D26</f>
        <v>0</v>
      </c>
      <c r="E26" s="547">
        <f>'Market Data'!$E$52*'Mkt Pen Veh-Mi'!E26</f>
        <v>0</v>
      </c>
      <c r="F26" s="547">
        <f>'Market Data'!$E$52*'Mkt Pen Veh-Mi'!F26</f>
        <v>0</v>
      </c>
      <c r="G26" s="552">
        <f>'Market Data'!$E$52*'Mkt Pen Veh-Mi'!G26</f>
        <v>0</v>
      </c>
      <c r="H26" s="288">
        <f>'Market Data'!$O$52*'Mkt Pen Veh-Mi'!H26</f>
        <v>0.24189234497249509</v>
      </c>
      <c r="I26" s="289">
        <f>'Market Data'!$O$52*'Mkt Pen Veh-Mi'!I26</f>
        <v>0</v>
      </c>
      <c r="J26" s="289">
        <f>'Market Data'!$O$52*'Mkt Pen Veh-Mi'!J26</f>
        <v>0</v>
      </c>
      <c r="K26" s="547">
        <f>'Market Data'!$O$52*'Mkt Pen Veh-Mi'!K26</f>
        <v>0</v>
      </c>
      <c r="L26" s="547">
        <f>'Market Data'!$O$52*'Mkt Pen Veh-Mi'!L26</f>
        <v>0</v>
      </c>
      <c r="M26" s="552">
        <f>'Market Data'!$O$52*'Mkt Pen Veh-Mi'!M26</f>
        <v>0</v>
      </c>
      <c r="N26" s="288">
        <f>'Market Data'!$Y$52*'Mkt Pen Veh-Mi'!N26</f>
        <v>8.967840728757831E-2</v>
      </c>
      <c r="O26" s="289">
        <f>'Market Data'!$Y$52*'Mkt Pen Veh-Mi'!O26</f>
        <v>0</v>
      </c>
      <c r="P26" s="289">
        <f>'Market Data'!$Y$52*'Mkt Pen Veh-Mi'!P26</f>
        <v>0</v>
      </c>
      <c r="Q26" s="547">
        <f>'Market Data'!$Y$52*'Mkt Pen Veh-Mi'!Q26</f>
        <v>0</v>
      </c>
      <c r="R26" s="547">
        <f>'Market Data'!$Y$52*'Mkt Pen Veh-Mi'!R26</f>
        <v>0</v>
      </c>
      <c r="S26" s="552">
        <f>'Market Data'!$Y$52*'Mkt Pen Veh-Mi'!S26</f>
        <v>0</v>
      </c>
      <c r="T26" s="288">
        <f t="shared" si="6"/>
        <v>0.99999999999999989</v>
      </c>
      <c r="U26" s="290">
        <f t="shared" si="8"/>
        <v>0</v>
      </c>
      <c r="X26" s="74"/>
    </row>
    <row r="27" spans="1:24" ht="15" x14ac:dyDescent="0.25">
      <c r="A27" s="274">
        <v>2025</v>
      </c>
      <c r="B27" s="291">
        <f>'Market Data'!$E$52*'Mkt Pen Veh-Mi'!B27</f>
        <v>0.66842924773992651</v>
      </c>
      <c r="C27" s="292">
        <f>'Market Data'!$E$52*'Mkt Pen Veh-Mi'!C27</f>
        <v>0</v>
      </c>
      <c r="D27" s="292">
        <f>'Market Data'!$E$52*'Mkt Pen Veh-Mi'!D27</f>
        <v>0</v>
      </c>
      <c r="E27" s="548">
        <f>'Market Data'!$E$52*'Mkt Pen Veh-Mi'!E27</f>
        <v>0</v>
      </c>
      <c r="F27" s="548">
        <f>'Market Data'!$E$52*'Mkt Pen Veh-Mi'!F27</f>
        <v>0</v>
      </c>
      <c r="G27" s="553">
        <f>'Market Data'!$E$52*'Mkt Pen Veh-Mi'!G27</f>
        <v>0</v>
      </c>
      <c r="H27" s="291">
        <f>'Market Data'!$O$52*'Mkt Pen Veh-Mi'!H27</f>
        <v>0.24189234497249509</v>
      </c>
      <c r="I27" s="292">
        <f>'Market Data'!$O$52*'Mkt Pen Veh-Mi'!I27</f>
        <v>0</v>
      </c>
      <c r="J27" s="292">
        <f>'Market Data'!$O$52*'Mkt Pen Veh-Mi'!J27</f>
        <v>0</v>
      </c>
      <c r="K27" s="548">
        <f>'Market Data'!$O$52*'Mkt Pen Veh-Mi'!K27</f>
        <v>0</v>
      </c>
      <c r="L27" s="548">
        <f>'Market Data'!$O$52*'Mkt Pen Veh-Mi'!L27</f>
        <v>0</v>
      </c>
      <c r="M27" s="553">
        <f>'Market Data'!$O$52*'Mkt Pen Veh-Mi'!M27</f>
        <v>0</v>
      </c>
      <c r="N27" s="291">
        <f>'Market Data'!$Y$52*'Mkt Pen Veh-Mi'!N27</f>
        <v>8.967840728757831E-2</v>
      </c>
      <c r="O27" s="292">
        <f>'Market Data'!$Y$52*'Mkt Pen Veh-Mi'!O27</f>
        <v>0</v>
      </c>
      <c r="P27" s="292">
        <f>'Market Data'!$Y$52*'Mkt Pen Veh-Mi'!P27</f>
        <v>0</v>
      </c>
      <c r="Q27" s="548">
        <f>'Market Data'!$Y$52*'Mkt Pen Veh-Mi'!Q27</f>
        <v>0</v>
      </c>
      <c r="R27" s="548">
        <f>'Market Data'!$Y$52*'Mkt Pen Veh-Mi'!R27</f>
        <v>0</v>
      </c>
      <c r="S27" s="553">
        <f>'Market Data'!$Y$52*'Mkt Pen Veh-Mi'!S27</f>
        <v>0</v>
      </c>
      <c r="T27" s="291">
        <f t="shared" si="6"/>
        <v>0.99999999999999989</v>
      </c>
      <c r="U27" s="293">
        <f t="shared" si="8"/>
        <v>0</v>
      </c>
      <c r="X27" s="74"/>
    </row>
    <row r="28" spans="1:24" ht="15" x14ac:dyDescent="0.25">
      <c r="A28" s="294">
        <v>2026</v>
      </c>
      <c r="B28" s="295">
        <f>'Market Data'!$E$52*'Mkt Pen Veh-Mi'!B28</f>
        <v>0.64792916417498414</v>
      </c>
      <c r="C28" s="296">
        <f>'Market Data'!$E$52*'Mkt Pen Veh-Mi'!C28</f>
        <v>1.1986314465544006E-2</v>
      </c>
      <c r="D28" s="296">
        <f>'Market Data'!$E$52*'Mkt Pen Veh-Mi'!D28</f>
        <v>8.5137690993983932E-3</v>
      </c>
      <c r="E28" s="549">
        <f>'Market Data'!$E$52*'Mkt Pen Veh-Mi'!E28</f>
        <v>0</v>
      </c>
      <c r="F28" s="549">
        <f>'Market Data'!$E$52*'Mkt Pen Veh-Mi'!F28</f>
        <v>0</v>
      </c>
      <c r="G28" s="554">
        <f>'Market Data'!$E$52*'Mkt Pen Veh-Mi'!G28</f>
        <v>0</v>
      </c>
      <c r="H28" s="295">
        <f>'Market Data'!$O$52*'Mkt Pen Veh-Mi'!H28</f>
        <v>0.23586561952495816</v>
      </c>
      <c r="I28" s="296">
        <f>'Market Data'!$O$52*'Mkt Pen Veh-Mi'!I28</f>
        <v>3.5799750668525344E-3</v>
      </c>
      <c r="J28" s="296">
        <f>'Market Data'!$O$52*'Mkt Pen Veh-Mi'!J28</f>
        <v>2.4467503806843774E-3</v>
      </c>
      <c r="K28" s="549">
        <f>'Market Data'!$O$52*'Mkt Pen Veh-Mi'!K28</f>
        <v>0</v>
      </c>
      <c r="L28" s="549">
        <f>'Market Data'!$O$52*'Mkt Pen Veh-Mi'!L28</f>
        <v>0</v>
      </c>
      <c r="M28" s="554">
        <f>'Market Data'!$O$52*'Mkt Pen Veh-Mi'!M28</f>
        <v>0</v>
      </c>
      <c r="N28" s="295">
        <f>'Market Data'!$Y$52*'Mkt Pen Veh-Mi'!N28</f>
        <v>8.7346219053581614E-2</v>
      </c>
      <c r="O28" s="296">
        <f>'Market Data'!$Y$52*'Mkt Pen Veh-Mi'!O28</f>
        <v>8.7231816708409425E-4</v>
      </c>
      <c r="P28" s="296">
        <f>'Market Data'!$Y$52*'Mkt Pen Veh-Mi'!P28</f>
        <v>1.4598597994581524E-3</v>
      </c>
      <c r="Q28" s="549">
        <f>'Market Data'!$Y$52*'Mkt Pen Veh-Mi'!Q28</f>
        <v>0</v>
      </c>
      <c r="R28" s="549">
        <f>'Market Data'!$Y$52*'Mkt Pen Veh-Mi'!R28</f>
        <v>0</v>
      </c>
      <c r="S28" s="554">
        <f>'Market Data'!$Y$52*'Mkt Pen Veh-Mi'!S28</f>
        <v>1.0267454444598974E-8</v>
      </c>
      <c r="T28" s="298">
        <f t="shared" si="6"/>
        <v>0.97114100275352389</v>
      </c>
      <c r="U28" s="299">
        <f t="shared" si="8"/>
        <v>2.8858997246476007E-2</v>
      </c>
      <c r="X28" s="74"/>
    </row>
    <row r="29" spans="1:24" ht="15" x14ac:dyDescent="0.25">
      <c r="A29" s="275">
        <v>2027</v>
      </c>
      <c r="B29" s="288">
        <f>'Market Data'!$E$52*'Mkt Pen Veh-Mi'!B29</f>
        <v>0.63273478934693284</v>
      </c>
      <c r="C29" s="289">
        <f>'Market Data'!$E$52*'Mkt Pen Veh-Mi'!C29</f>
        <v>1.7215012536538635E-2</v>
      </c>
      <c r="D29" s="289">
        <f>'Market Data'!$E$52*'Mkt Pen Veh-Mi'!D29</f>
        <v>1.8479445856455015E-2</v>
      </c>
      <c r="E29" s="547">
        <f>'Market Data'!$E$52*'Mkt Pen Veh-Mi'!E29</f>
        <v>0</v>
      </c>
      <c r="F29" s="547">
        <f>'Market Data'!$E$52*'Mkt Pen Veh-Mi'!F29</f>
        <v>0</v>
      </c>
      <c r="G29" s="552">
        <f>'Market Data'!$E$52*'Mkt Pen Veh-Mi'!G29</f>
        <v>0</v>
      </c>
      <c r="H29" s="288">
        <f>'Market Data'!$O$52*'Mkt Pen Veh-Mi'!H29</f>
        <v>0.23079893622309794</v>
      </c>
      <c r="I29" s="289">
        <f>'Market Data'!$O$52*'Mkt Pen Veh-Mi'!I29</f>
        <v>6.2587031771372589E-3</v>
      </c>
      <c r="J29" s="289">
        <f>'Market Data'!$O$52*'Mkt Pen Veh-Mi'!J29</f>
        <v>4.8347055722598878E-3</v>
      </c>
      <c r="K29" s="547">
        <f>'Market Data'!$O$52*'Mkt Pen Veh-Mi'!K29</f>
        <v>0</v>
      </c>
      <c r="L29" s="547">
        <f>'Market Data'!$O$52*'Mkt Pen Veh-Mi'!L29</f>
        <v>0</v>
      </c>
      <c r="M29" s="552">
        <f>'Market Data'!$O$52*'Mkt Pen Veh-Mi'!M29</f>
        <v>0</v>
      </c>
      <c r="N29" s="288">
        <f>'Market Data'!$Y$52*'Mkt Pen Veh-Mi'!N29</f>
        <v>8.3812698972829239E-2</v>
      </c>
      <c r="O29" s="289">
        <f>'Market Data'!$Y$52*'Mkt Pen Veh-Mi'!O29</f>
        <v>2.3204331616201053E-4</v>
      </c>
      <c r="P29" s="289">
        <f>'Market Data'!$Y$52*'Mkt Pen Veh-Mi'!P29</f>
        <v>5.6334727074190344E-3</v>
      </c>
      <c r="Q29" s="547">
        <f>'Market Data'!$Y$52*'Mkt Pen Veh-Mi'!Q29</f>
        <v>0</v>
      </c>
      <c r="R29" s="547">
        <f>'Market Data'!$Y$52*'Mkt Pen Veh-Mi'!R29</f>
        <v>0</v>
      </c>
      <c r="S29" s="552">
        <f>'Market Data'!$Y$52*'Mkt Pen Veh-Mi'!S29</f>
        <v>1.9229116802265645E-7</v>
      </c>
      <c r="T29" s="288">
        <f t="shared" si="6"/>
        <v>0.94734642454286</v>
      </c>
      <c r="U29" s="290">
        <f t="shared" si="8"/>
        <v>5.2653575457139862E-2</v>
      </c>
      <c r="X29" s="74"/>
    </row>
    <row r="30" spans="1:24" ht="15" x14ac:dyDescent="0.25">
      <c r="A30" s="275">
        <v>2028</v>
      </c>
      <c r="B30" s="288">
        <f>'Market Data'!$E$52*'Mkt Pen Veh-Mi'!B30</f>
        <v>0.51764045672739234</v>
      </c>
      <c r="C30" s="289">
        <f>'Market Data'!$E$52*'Mkt Pen Veh-Mi'!C30</f>
        <v>8.7840353828534015E-2</v>
      </c>
      <c r="D30" s="289">
        <f>'Market Data'!$E$52*'Mkt Pen Veh-Mi'!D30</f>
        <v>6.2948437184000214E-2</v>
      </c>
      <c r="E30" s="547">
        <f>'Market Data'!$E$52*'Mkt Pen Veh-Mi'!E30</f>
        <v>0</v>
      </c>
      <c r="F30" s="547">
        <f>'Market Data'!$E$52*'Mkt Pen Veh-Mi'!F30</f>
        <v>0</v>
      </c>
      <c r="G30" s="552">
        <f>'Market Data'!$E$52*'Mkt Pen Veh-Mi'!G30</f>
        <v>0</v>
      </c>
      <c r="H30" s="288">
        <f>'Market Data'!$O$52*'Mkt Pen Veh-Mi'!H30</f>
        <v>0.21086716009263048</v>
      </c>
      <c r="I30" s="289">
        <f>'Market Data'!$O$52*'Mkt Pen Veh-Mi'!I30</f>
        <v>1.7531604539071887E-2</v>
      </c>
      <c r="J30" s="289">
        <f>'Market Data'!$O$52*'Mkt Pen Veh-Mi'!J30</f>
        <v>1.3493580340792731E-2</v>
      </c>
      <c r="K30" s="547">
        <f>'Market Data'!$O$52*'Mkt Pen Veh-Mi'!K30</f>
        <v>0</v>
      </c>
      <c r="L30" s="547">
        <f>'Market Data'!$O$52*'Mkt Pen Veh-Mi'!L30</f>
        <v>0</v>
      </c>
      <c r="M30" s="552">
        <f>'Market Data'!$O$52*'Mkt Pen Veh-Mi'!M30</f>
        <v>0</v>
      </c>
      <c r="N30" s="288">
        <f>'Market Data'!$Y$52*'Mkt Pen Veh-Mi'!N30</f>
        <v>7.5974811155960387E-2</v>
      </c>
      <c r="O30" s="289">
        <f>'Market Data'!$Y$52*'Mkt Pen Veh-Mi'!O30</f>
        <v>3.818682291621571E-3</v>
      </c>
      <c r="P30" s="289">
        <f>'Market Data'!$Y$52*'Mkt Pen Veh-Mi'!P30</f>
        <v>9.883719083019887E-3</v>
      </c>
      <c r="Q30" s="547">
        <f>'Market Data'!$Y$52*'Mkt Pen Veh-Mi'!Q30</f>
        <v>0</v>
      </c>
      <c r="R30" s="547">
        <f>'Market Data'!$Y$52*'Mkt Pen Veh-Mi'!R30</f>
        <v>0</v>
      </c>
      <c r="S30" s="552">
        <f>'Market Data'!$Y$52*'Mkt Pen Veh-Mi'!S30</f>
        <v>1.1947569764661063E-6</v>
      </c>
      <c r="T30" s="288">
        <f t="shared" si="6"/>
        <v>0.80448242797598324</v>
      </c>
      <c r="U30" s="290">
        <f t="shared" si="8"/>
        <v>0.19551757202401676</v>
      </c>
      <c r="X30" s="74"/>
    </row>
    <row r="31" spans="1:24" ht="15" x14ac:dyDescent="0.25">
      <c r="A31" s="275">
        <v>2029</v>
      </c>
      <c r="B31" s="288">
        <f>'Market Data'!$E$52*'Mkt Pen Veh-Mi'!B31</f>
        <v>0.37351713063247721</v>
      </c>
      <c r="C31" s="289">
        <f>'Market Data'!$E$52*'Mkt Pen Veh-Mi'!C31</f>
        <v>0.17095265749064226</v>
      </c>
      <c r="D31" s="289">
        <f>'Market Data'!$E$52*'Mkt Pen Veh-Mi'!D31</f>
        <v>0.12395945961680703</v>
      </c>
      <c r="E31" s="547">
        <f>'Market Data'!$E$52*'Mkt Pen Veh-Mi'!E31</f>
        <v>0</v>
      </c>
      <c r="F31" s="547">
        <f>'Market Data'!$E$52*'Mkt Pen Veh-Mi'!F31</f>
        <v>0</v>
      </c>
      <c r="G31" s="552">
        <f>'Market Data'!$E$52*'Mkt Pen Veh-Mi'!G31</f>
        <v>0</v>
      </c>
      <c r="H31" s="288">
        <f>'Market Data'!$O$52*'Mkt Pen Veh-Mi'!H31</f>
        <v>0.17789976477447825</v>
      </c>
      <c r="I31" s="289">
        <f>'Market Data'!$O$52*'Mkt Pen Veh-Mi'!I31</f>
        <v>3.6021616992723E-2</v>
      </c>
      <c r="J31" s="289">
        <f>'Market Data'!$O$52*'Mkt Pen Veh-Mi'!J31</f>
        <v>2.7970963205293867E-2</v>
      </c>
      <c r="K31" s="547">
        <f>'Market Data'!$O$52*'Mkt Pen Veh-Mi'!K31</f>
        <v>0</v>
      </c>
      <c r="L31" s="547">
        <f>'Market Data'!$O$52*'Mkt Pen Veh-Mi'!L31</f>
        <v>0</v>
      </c>
      <c r="M31" s="552">
        <f>'Market Data'!$O$52*'Mkt Pen Veh-Mi'!M31</f>
        <v>0</v>
      </c>
      <c r="N31" s="288">
        <f>'Market Data'!$Y$52*'Mkt Pen Veh-Mi'!N31</f>
        <v>6.5080081980336962E-2</v>
      </c>
      <c r="O31" s="289">
        <f>'Market Data'!$Y$52*'Mkt Pen Veh-Mi'!O31</f>
        <v>1.3379134441160849E-3</v>
      </c>
      <c r="P31" s="289">
        <f>'Market Data'!$Y$52*'Mkt Pen Veh-Mi'!P31</f>
        <v>2.3256487089589606E-2</v>
      </c>
      <c r="Q31" s="547">
        <f>'Market Data'!$Y$52*'Mkt Pen Veh-Mi'!Q31</f>
        <v>0</v>
      </c>
      <c r="R31" s="547">
        <f>'Market Data'!$Y$52*'Mkt Pen Veh-Mi'!R31</f>
        <v>0</v>
      </c>
      <c r="S31" s="552">
        <f>'Market Data'!$Y$52*'Mkt Pen Veh-Mi'!S31</f>
        <v>3.9247735356569049E-6</v>
      </c>
      <c r="T31" s="288">
        <f t="shared" si="6"/>
        <v>0.61649697738729237</v>
      </c>
      <c r="U31" s="290">
        <f t="shared" si="8"/>
        <v>0.38350302261270752</v>
      </c>
      <c r="X31" s="74"/>
    </row>
    <row r="32" spans="1:24" ht="15" x14ac:dyDescent="0.25">
      <c r="A32" s="274">
        <v>2030</v>
      </c>
      <c r="B32" s="291">
        <f>'Market Data'!$E$52*'Mkt Pen Veh-Mi'!B32</f>
        <v>0.21340542732471146</v>
      </c>
      <c r="C32" s="292">
        <f>'Market Data'!$E$52*'Mkt Pen Veh-Mi'!C32</f>
        <v>0.25746987312280084</v>
      </c>
      <c r="D32" s="292">
        <f>'Market Data'!$E$52*'Mkt Pen Veh-Mi'!D32</f>
        <v>0.19755394729241421</v>
      </c>
      <c r="E32" s="548">
        <f>'Market Data'!$E$52*'Mkt Pen Veh-Mi'!E32</f>
        <v>0</v>
      </c>
      <c r="F32" s="548">
        <f>'Market Data'!$E$52*'Mkt Pen Veh-Mi'!F32</f>
        <v>0</v>
      </c>
      <c r="G32" s="553">
        <f>'Market Data'!$E$52*'Mkt Pen Veh-Mi'!G32</f>
        <v>0</v>
      </c>
      <c r="H32" s="291">
        <f>'Market Data'!$O$52*'Mkt Pen Veh-Mi'!H32</f>
        <v>0.13683849780610624</v>
      </c>
      <c r="I32" s="292">
        <f>'Market Data'!$O$52*'Mkt Pen Veh-Mi'!I32</f>
        <v>5.8483736614341149E-2</v>
      </c>
      <c r="J32" s="292">
        <f>'Market Data'!$O$52*'Mkt Pen Veh-Mi'!J32</f>
        <v>4.6570110552047697E-2</v>
      </c>
      <c r="K32" s="548">
        <f>'Market Data'!$O$52*'Mkt Pen Veh-Mi'!K32</f>
        <v>0</v>
      </c>
      <c r="L32" s="548">
        <f>'Market Data'!$O$52*'Mkt Pen Veh-Mi'!L32</f>
        <v>0</v>
      </c>
      <c r="M32" s="553">
        <f>'Market Data'!$O$52*'Mkt Pen Veh-Mi'!M32</f>
        <v>0</v>
      </c>
      <c r="N32" s="291">
        <f>'Market Data'!$Y$52*'Mkt Pen Veh-Mi'!N32</f>
        <v>5.3716934940559811E-2</v>
      </c>
      <c r="O32" s="292">
        <f>'Market Data'!$Y$52*'Mkt Pen Veh-Mi'!O32</f>
        <v>5.3406631493728657E-4</v>
      </c>
      <c r="P32" s="292">
        <f>'Market Data'!$Y$52*'Mkt Pen Veh-Mi'!P32</f>
        <v>3.5411063768349522E-2</v>
      </c>
      <c r="Q32" s="548">
        <f>'Market Data'!$Y$52*'Mkt Pen Veh-Mi'!Q32</f>
        <v>0</v>
      </c>
      <c r="R32" s="548">
        <f>'Market Data'!$Y$52*'Mkt Pen Veh-Mi'!R32</f>
        <v>0</v>
      </c>
      <c r="S32" s="553">
        <f>'Market Data'!$Y$52*'Mkt Pen Veh-Mi'!S32</f>
        <v>1.6342263731685203E-5</v>
      </c>
      <c r="T32" s="291">
        <f t="shared" si="6"/>
        <v>0.40396086007137749</v>
      </c>
      <c r="U32" s="293">
        <f t="shared" si="8"/>
        <v>0.59603913992862245</v>
      </c>
      <c r="X32" s="74"/>
    </row>
    <row r="33" spans="1:21" ht="15" x14ac:dyDescent="0.25">
      <c r="A33" s="294">
        <v>2031</v>
      </c>
      <c r="B33" s="295">
        <f>'Market Data'!$E$52*'Mkt Pen Veh-Mi'!B33</f>
        <v>0.10883941552593678</v>
      </c>
      <c r="C33" s="296">
        <f>'Market Data'!$E$52*'Mkt Pen Veh-Mi'!C33</f>
        <v>0.31116175976142357</v>
      </c>
      <c r="D33" s="296">
        <f>'Market Data'!$E$52*'Mkt Pen Veh-Mi'!D33</f>
        <v>0.24842807245256615</v>
      </c>
      <c r="E33" s="549">
        <f>'Market Data'!$E$52*'Mkt Pen Veh-Mi'!E33</f>
        <v>0</v>
      </c>
      <c r="F33" s="549">
        <f>'Market Data'!$E$52*'Mkt Pen Veh-Mi'!F33</f>
        <v>0</v>
      </c>
      <c r="G33" s="554">
        <f>'Market Data'!$E$52*'Mkt Pen Veh-Mi'!G33</f>
        <v>0</v>
      </c>
      <c r="H33" s="295">
        <f>'Market Data'!$O$52*'Mkt Pen Veh-Mi'!H33</f>
        <v>0.10452140490084594</v>
      </c>
      <c r="I33" s="296">
        <f>'Market Data'!$O$52*'Mkt Pen Veh-Mi'!I33</f>
        <v>7.5788336099097436E-2</v>
      </c>
      <c r="J33" s="296">
        <f>'Market Data'!$O$52*'Mkt Pen Veh-Mi'!J33</f>
        <v>6.1582603972551712E-2</v>
      </c>
      <c r="K33" s="549">
        <f>'Market Data'!$O$52*'Mkt Pen Veh-Mi'!K33</f>
        <v>0</v>
      </c>
      <c r="L33" s="549">
        <f>'Market Data'!$O$52*'Mkt Pen Veh-Mi'!L33</f>
        <v>0</v>
      </c>
      <c r="M33" s="554">
        <f>'Market Data'!$O$52*'Mkt Pen Veh-Mi'!M33</f>
        <v>0</v>
      </c>
      <c r="N33" s="295">
        <f>'Market Data'!$Y$52*'Mkt Pen Veh-Mi'!N33</f>
        <v>4.7383321141093032E-2</v>
      </c>
      <c r="O33" s="296">
        <f>'Market Data'!$Y$52*'Mkt Pen Veh-Mi'!O33</f>
        <v>6.725813511859692E-4</v>
      </c>
      <c r="P33" s="296">
        <f>'Market Data'!$Y$52*'Mkt Pen Veh-Mi'!P33</f>
        <v>4.1580601131530691E-2</v>
      </c>
      <c r="Q33" s="549">
        <f>'Market Data'!$Y$52*'Mkt Pen Veh-Mi'!Q33</f>
        <v>0</v>
      </c>
      <c r="R33" s="549">
        <f>'Market Data'!$Y$52*'Mkt Pen Veh-Mi'!R33</f>
        <v>2.423443248592365E-8</v>
      </c>
      <c r="S33" s="554">
        <f>'Market Data'!$Y$52*'Mkt Pen Veh-Mi'!S33</f>
        <v>4.1879429336129897E-5</v>
      </c>
      <c r="T33" s="298">
        <f t="shared" si="6"/>
        <v>0.26074414156787573</v>
      </c>
      <c r="U33" s="299">
        <f t="shared" si="8"/>
        <v>0.73925585843212416</v>
      </c>
    </row>
    <row r="34" spans="1:21" ht="15" x14ac:dyDescent="0.25">
      <c r="A34" s="275">
        <v>2032</v>
      </c>
      <c r="B34" s="288">
        <f>'Market Data'!$E$52*'Mkt Pen Veh-Mi'!B34</f>
        <v>5.6680880575773265E-2</v>
      </c>
      <c r="C34" s="289">
        <f>'Market Data'!$E$52*'Mkt Pen Veh-Mi'!C34</f>
        <v>0.33936063014567081</v>
      </c>
      <c r="D34" s="289">
        <f>'Market Data'!$E$52*'Mkt Pen Veh-Mi'!D34</f>
        <v>0.27238773701848246</v>
      </c>
      <c r="E34" s="547">
        <f>'Market Data'!$E$52*'Mkt Pen Veh-Mi'!E34</f>
        <v>0</v>
      </c>
      <c r="F34" s="547">
        <f>'Market Data'!$E$52*'Mkt Pen Veh-Mi'!F34</f>
        <v>0</v>
      </c>
      <c r="G34" s="552">
        <f>'Market Data'!$E$52*'Mkt Pen Veh-Mi'!G34</f>
        <v>0</v>
      </c>
      <c r="H34" s="288">
        <f>'Market Data'!$O$52*'Mkt Pen Veh-Mi'!H34</f>
        <v>8.6973752248610786E-2</v>
      </c>
      <c r="I34" s="289">
        <f>'Market Data'!$O$52*'Mkt Pen Veh-Mi'!I34</f>
        <v>8.5228382910724071E-2</v>
      </c>
      <c r="J34" s="289">
        <f>'Market Data'!$O$52*'Mkt Pen Veh-Mi'!J34</f>
        <v>6.9688331168352283E-2</v>
      </c>
      <c r="K34" s="547">
        <f>'Market Data'!$O$52*'Mkt Pen Veh-Mi'!K34</f>
        <v>0</v>
      </c>
      <c r="L34" s="547">
        <f>'Market Data'!$O$52*'Mkt Pen Veh-Mi'!L34</f>
        <v>0</v>
      </c>
      <c r="M34" s="552">
        <f>'Market Data'!$O$52*'Mkt Pen Veh-Mi'!M34</f>
        <v>1.8786448079520213E-6</v>
      </c>
      <c r="N34" s="288">
        <f>'Market Data'!$Y$52*'Mkt Pen Veh-Mi'!N34</f>
        <v>4.1415776966464118E-2</v>
      </c>
      <c r="O34" s="289">
        <f>'Market Data'!$Y$52*'Mkt Pen Veh-Mi'!O34</f>
        <v>5.5993162492289509E-3</v>
      </c>
      <c r="P34" s="289">
        <f>'Market Data'!$Y$52*'Mkt Pen Veh-Mi'!P34</f>
        <v>4.2590662863275848E-2</v>
      </c>
      <c r="Q34" s="547">
        <f>'Market Data'!$Y$52*'Mkt Pen Veh-Mi'!Q34</f>
        <v>0</v>
      </c>
      <c r="R34" s="547">
        <f>'Market Data'!$Y$52*'Mkt Pen Veh-Mi'!R34</f>
        <v>4.6453208102721329E-7</v>
      </c>
      <c r="S34" s="552">
        <f>'Market Data'!$Y$52*'Mkt Pen Veh-Mi'!S34</f>
        <v>7.2186676528374977E-5</v>
      </c>
      <c r="T34" s="288">
        <f t="shared" si="6"/>
        <v>0.18507040979084816</v>
      </c>
      <c r="U34" s="290">
        <f t="shared" si="8"/>
        <v>0.81492959020915179</v>
      </c>
    </row>
    <row r="35" spans="1:21" ht="15" x14ac:dyDescent="0.25">
      <c r="A35" s="275">
        <v>2033</v>
      </c>
      <c r="B35" s="288">
        <f>'Market Data'!$E$52*'Mkt Pen Veh-Mi'!B35</f>
        <v>3.4914343620390809E-2</v>
      </c>
      <c r="C35" s="289">
        <f>'Market Data'!$E$52*'Mkt Pen Veh-Mi'!C35</f>
        <v>0.34677719111973421</v>
      </c>
      <c r="D35" s="289">
        <f>'Market Data'!$E$52*'Mkt Pen Veh-Mi'!D35</f>
        <v>0.2867377129998015</v>
      </c>
      <c r="E35" s="547">
        <f>'Market Data'!$E$52*'Mkt Pen Veh-Mi'!E35</f>
        <v>0</v>
      </c>
      <c r="F35" s="547">
        <f>'Market Data'!$E$52*'Mkt Pen Veh-Mi'!F35</f>
        <v>0</v>
      </c>
      <c r="G35" s="552">
        <f>'Market Data'!$E$52*'Mkt Pen Veh-Mi'!G35</f>
        <v>0</v>
      </c>
      <c r="H35" s="288">
        <f>'Market Data'!$O$52*'Mkt Pen Veh-Mi'!H35</f>
        <v>7.7611866518434922E-2</v>
      </c>
      <c r="I35" s="289">
        <f>'Market Data'!$O$52*'Mkt Pen Veh-Mi'!I35</f>
        <v>8.9961777579488353E-2</v>
      </c>
      <c r="J35" s="289">
        <f>'Market Data'!$O$52*'Mkt Pen Veh-Mi'!J35</f>
        <v>7.4306588233493065E-2</v>
      </c>
      <c r="K35" s="547">
        <f>'Market Data'!$O$52*'Mkt Pen Veh-Mi'!K35</f>
        <v>0</v>
      </c>
      <c r="L35" s="547">
        <f>'Market Data'!$O$52*'Mkt Pen Veh-Mi'!L35</f>
        <v>0</v>
      </c>
      <c r="M35" s="552">
        <f>'Market Data'!$O$52*'Mkt Pen Veh-Mi'!M35</f>
        <v>1.211264107874184E-5</v>
      </c>
      <c r="N35" s="288">
        <f>'Market Data'!$Y$52*'Mkt Pen Veh-Mi'!N35</f>
        <v>3.8371122542483871E-2</v>
      </c>
      <c r="O35" s="289">
        <f>'Market Data'!$Y$52*'Mkt Pen Veh-Mi'!O35</f>
        <v>9.1447915349601311E-3</v>
      </c>
      <c r="P35" s="289">
        <f>'Market Data'!$Y$52*'Mkt Pen Veh-Mi'!P35</f>
        <v>4.2027272742885945E-2</v>
      </c>
      <c r="Q35" s="547">
        <f>'Market Data'!$Y$52*'Mkt Pen Veh-Mi'!Q35</f>
        <v>0</v>
      </c>
      <c r="R35" s="547">
        <f>'Market Data'!$Y$52*'Mkt Pen Veh-Mi'!R35</f>
        <v>6.2294243195756773E-6</v>
      </c>
      <c r="S35" s="552">
        <f>'Market Data'!$Y$52*'Mkt Pen Veh-Mi'!S35</f>
        <v>1.289910429287831E-4</v>
      </c>
      <c r="T35" s="288">
        <f t="shared" si="6"/>
        <v>0.15089733268130961</v>
      </c>
      <c r="U35" s="290">
        <f t="shared" si="8"/>
        <v>0.84910266731869033</v>
      </c>
    </row>
    <row r="36" spans="1:21" ht="15" x14ac:dyDescent="0.25">
      <c r="A36" s="275">
        <v>2034</v>
      </c>
      <c r="B36" s="288">
        <f>'Market Data'!$E$52*'Mkt Pen Veh-Mi'!B36</f>
        <v>2.6591168305493625E-2</v>
      </c>
      <c r="C36" s="289">
        <f>'Market Data'!$E$52*'Mkt Pen Veh-Mi'!C36</f>
        <v>0.35038762959045977</v>
      </c>
      <c r="D36" s="289">
        <f>'Market Data'!$E$52*'Mkt Pen Veh-Mi'!D36</f>
        <v>0.29145044984397311</v>
      </c>
      <c r="E36" s="547">
        <f>'Market Data'!$E$52*'Mkt Pen Veh-Mi'!E36</f>
        <v>0</v>
      </c>
      <c r="F36" s="547">
        <f>'Market Data'!$E$52*'Mkt Pen Veh-Mi'!F36</f>
        <v>0</v>
      </c>
      <c r="G36" s="552">
        <f>'Market Data'!$E$52*'Mkt Pen Veh-Mi'!G36</f>
        <v>0</v>
      </c>
      <c r="H36" s="288">
        <f>'Market Data'!$O$52*'Mkt Pen Veh-Mi'!H36</f>
        <v>7.4452994585619783E-2</v>
      </c>
      <c r="I36" s="289">
        <f>'Market Data'!$O$52*'Mkt Pen Veh-Mi'!I36</f>
        <v>9.1291091795088625E-2</v>
      </c>
      <c r="J36" s="289">
        <f>'Market Data'!$O$52*'Mkt Pen Veh-Mi'!J36</f>
        <v>7.612267140121072E-2</v>
      </c>
      <c r="K36" s="547">
        <f>'Market Data'!$O$52*'Mkt Pen Veh-Mi'!K36</f>
        <v>0</v>
      </c>
      <c r="L36" s="547">
        <f>'Market Data'!$O$52*'Mkt Pen Veh-Mi'!L36</f>
        <v>0</v>
      </c>
      <c r="M36" s="552">
        <f>'Market Data'!$O$52*'Mkt Pen Veh-Mi'!M36</f>
        <v>2.5587190575960412E-5</v>
      </c>
      <c r="N36" s="288">
        <f>'Market Data'!$Y$52*'Mkt Pen Veh-Mi'!N36</f>
        <v>3.6124260533731106E-2</v>
      </c>
      <c r="O36" s="289">
        <f>'Market Data'!$Y$52*'Mkt Pen Veh-Mi'!O36</f>
        <v>1.0893175372564401E-2</v>
      </c>
      <c r="P36" s="289">
        <f>'Market Data'!$Y$52*'Mkt Pen Veh-Mi'!P36</f>
        <v>4.2444978339740876E-2</v>
      </c>
      <c r="Q36" s="547">
        <f>'Market Data'!$Y$52*'Mkt Pen Veh-Mi'!Q36</f>
        <v>0</v>
      </c>
      <c r="R36" s="547">
        <f>'Market Data'!$Y$52*'Mkt Pen Veh-Mi'!R36</f>
        <v>2.1545924290549945E-5</v>
      </c>
      <c r="S36" s="552">
        <f>'Market Data'!$Y$52*'Mkt Pen Veh-Mi'!S36</f>
        <v>1.9444711725137467E-4</v>
      </c>
      <c r="T36" s="288">
        <f t="shared" si="6"/>
        <v>0.13716842342484453</v>
      </c>
      <c r="U36" s="290">
        <f t="shared" si="8"/>
        <v>0.86283157657515541</v>
      </c>
    </row>
    <row r="37" spans="1:21" ht="15" x14ac:dyDescent="0.25">
      <c r="A37" s="274">
        <v>2035</v>
      </c>
      <c r="B37" s="291">
        <f>'Market Data'!$E$52*'Mkt Pen Veh-Mi'!B37</f>
        <v>2.2191773310713824E-2</v>
      </c>
      <c r="C37" s="292">
        <f>'Market Data'!$E$52*'Mkt Pen Veh-Mi'!C37</f>
        <v>0.35251149050185582</v>
      </c>
      <c r="D37" s="292">
        <f>'Market Data'!$E$52*'Mkt Pen Veh-Mi'!D37</f>
        <v>0.29372598392735683</v>
      </c>
      <c r="E37" s="548">
        <f>'Market Data'!$E$52*'Mkt Pen Veh-Mi'!E37</f>
        <v>0</v>
      </c>
      <c r="F37" s="548">
        <f>'Market Data'!$E$52*'Mkt Pen Veh-Mi'!F37</f>
        <v>0</v>
      </c>
      <c r="G37" s="553">
        <f>'Market Data'!$E$52*'Mkt Pen Veh-Mi'!G37</f>
        <v>0</v>
      </c>
      <c r="H37" s="291">
        <f>'Market Data'!$O$52*'Mkt Pen Veh-Mi'!H37</f>
        <v>7.0461660037965501E-2</v>
      </c>
      <c r="I37" s="292">
        <f>'Market Data'!$O$52*'Mkt Pen Veh-Mi'!I37</f>
        <v>9.3135394310470965E-2</v>
      </c>
      <c r="J37" s="292">
        <f>'Market Data'!$O$52*'Mkt Pen Veh-Mi'!J37</f>
        <v>7.8240142917789343E-2</v>
      </c>
      <c r="K37" s="548">
        <f>'Market Data'!$O$52*'Mkt Pen Veh-Mi'!K37</f>
        <v>0</v>
      </c>
      <c r="L37" s="548">
        <f>'Market Data'!$O$52*'Mkt Pen Veh-Mi'!L37</f>
        <v>0</v>
      </c>
      <c r="M37" s="553">
        <f>'Market Data'!$O$52*'Mkt Pen Veh-Mi'!M37</f>
        <v>5.5147706269301973E-5</v>
      </c>
      <c r="N37" s="291">
        <f>'Market Data'!$Y$52*'Mkt Pen Veh-Mi'!N37</f>
        <v>3.452357415939869E-2</v>
      </c>
      <c r="O37" s="292">
        <f>'Market Data'!$Y$52*'Mkt Pen Veh-Mi'!O37</f>
        <v>1.3115255059813816E-2</v>
      </c>
      <c r="P37" s="292">
        <f>'Market Data'!$Y$52*'Mkt Pen Veh-Mi'!P37</f>
        <v>4.1646235654919178E-2</v>
      </c>
      <c r="Q37" s="548">
        <f>'Market Data'!$Y$52*'Mkt Pen Veh-Mi'!Q37</f>
        <v>0</v>
      </c>
      <c r="R37" s="548">
        <f>'Market Data'!$Y$52*'Mkt Pen Veh-Mi'!R37</f>
        <v>6.3434527223804303E-5</v>
      </c>
      <c r="S37" s="553">
        <f>'Market Data'!$Y$52*'Mkt Pen Veh-Mi'!S37</f>
        <v>3.2990788622283708E-4</v>
      </c>
      <c r="T37" s="291">
        <f t="shared" si="6"/>
        <v>0.12717700750807803</v>
      </c>
      <c r="U37" s="293">
        <f t="shared" si="8"/>
        <v>0.87282299249192186</v>
      </c>
    </row>
    <row r="38" spans="1:21" ht="15" x14ac:dyDescent="0.25">
      <c r="A38" s="294">
        <v>2036</v>
      </c>
      <c r="B38" s="295">
        <f>'Market Data'!$E$52*'Mkt Pen Veh-Mi'!B38</f>
        <v>1.9110476283512319E-2</v>
      </c>
      <c r="C38" s="296">
        <f>'Market Data'!$E$52*'Mkt Pen Veh-Mi'!C38</f>
        <v>0.35002103174512939</v>
      </c>
      <c r="D38" s="296">
        <f>'Market Data'!$E$52*'Mkt Pen Veh-Mi'!D38</f>
        <v>0.29929773971128482</v>
      </c>
      <c r="E38" s="549">
        <f>'Market Data'!$E$52*'Mkt Pen Veh-Mi'!E38</f>
        <v>0</v>
      </c>
      <c r="F38" s="549">
        <f>'Market Data'!$E$52*'Mkt Pen Veh-Mi'!F38</f>
        <v>0</v>
      </c>
      <c r="G38" s="554">
        <f>'Market Data'!$E$52*'Mkt Pen Veh-Mi'!G38</f>
        <v>0</v>
      </c>
      <c r="H38" s="295">
        <f>'Market Data'!$O$52*'Mkt Pen Veh-Mi'!H38</f>
        <v>6.9027804936531073E-2</v>
      </c>
      <c r="I38" s="296">
        <f>'Market Data'!$O$52*'Mkt Pen Veh-Mi'!I38</f>
        <v>9.3081108278075128E-2</v>
      </c>
      <c r="J38" s="296">
        <f>'Market Data'!$O$52*'Mkt Pen Veh-Mi'!J38</f>
        <v>7.9654433159002391E-2</v>
      </c>
      <c r="K38" s="549">
        <f>'Market Data'!$O$52*'Mkt Pen Veh-Mi'!K38</f>
        <v>0</v>
      </c>
      <c r="L38" s="549">
        <f>'Market Data'!$O$52*'Mkt Pen Veh-Mi'!L38</f>
        <v>0</v>
      </c>
      <c r="M38" s="554">
        <f>'Market Data'!$O$52*'Mkt Pen Veh-Mi'!M38</f>
        <v>1.2899859888651927E-4</v>
      </c>
      <c r="N38" s="295">
        <f>'Market Data'!$Y$52*'Mkt Pen Veh-Mi'!N38</f>
        <v>2.9269602831247226E-2</v>
      </c>
      <c r="O38" s="296">
        <f>'Market Data'!$Y$52*'Mkt Pen Veh-Mi'!O38</f>
        <v>1.8706993456937587E-2</v>
      </c>
      <c r="P38" s="296">
        <f>'Market Data'!$Y$52*'Mkt Pen Veh-Mi'!P38</f>
        <v>4.1080726874936281E-2</v>
      </c>
      <c r="Q38" s="549">
        <f>'Market Data'!$Y$52*'Mkt Pen Veh-Mi'!Q38</f>
        <v>0</v>
      </c>
      <c r="R38" s="549">
        <f>'Market Data'!$Y$52*'Mkt Pen Veh-Mi'!R38</f>
        <v>1.7675770783116048E-4</v>
      </c>
      <c r="S38" s="554">
        <f>'Market Data'!$Y$52*'Mkt Pen Veh-Mi'!S38</f>
        <v>4.4432641662604685E-4</v>
      </c>
      <c r="T38" s="298">
        <f t="shared" si="6"/>
        <v>0.11740788405129061</v>
      </c>
      <c r="U38" s="299">
        <f t="shared" si="8"/>
        <v>0.88259211594870934</v>
      </c>
    </row>
    <row r="39" spans="1:21" ht="15" x14ac:dyDescent="0.25">
      <c r="A39" s="275">
        <v>2037</v>
      </c>
      <c r="B39" s="288">
        <f>'Market Data'!$E$52*'Mkt Pen Veh-Mi'!B39</f>
        <v>1.878492666881135E-2</v>
      </c>
      <c r="C39" s="289">
        <f>'Market Data'!$E$52*'Mkt Pen Veh-Mi'!C39</f>
        <v>0.3460799498027885</v>
      </c>
      <c r="D39" s="289">
        <f>'Market Data'!$E$52*'Mkt Pen Veh-Mi'!D39</f>
        <v>0.30356437126832664</v>
      </c>
      <c r="E39" s="547">
        <f>'Market Data'!$E$52*'Mkt Pen Veh-Mi'!E39</f>
        <v>0</v>
      </c>
      <c r="F39" s="547">
        <f>'Market Data'!$E$52*'Mkt Pen Veh-Mi'!F39</f>
        <v>0</v>
      </c>
      <c r="G39" s="552">
        <f>'Market Data'!$E$52*'Mkt Pen Veh-Mi'!G39</f>
        <v>0</v>
      </c>
      <c r="H39" s="288">
        <f>'Market Data'!$O$52*'Mkt Pen Veh-Mi'!H39</f>
        <v>6.8024294519166875E-2</v>
      </c>
      <c r="I39" s="289">
        <f>'Market Data'!$O$52*'Mkt Pen Veh-Mi'!I39</f>
        <v>9.3345824155104784E-2</v>
      </c>
      <c r="J39" s="289">
        <f>'Market Data'!$O$52*'Mkt Pen Veh-Mi'!J39</f>
        <v>8.0314326463974919E-2</v>
      </c>
      <c r="K39" s="547">
        <f>'Market Data'!$O$52*'Mkt Pen Veh-Mi'!K39</f>
        <v>0</v>
      </c>
      <c r="L39" s="547">
        <f>'Market Data'!$O$52*'Mkt Pen Veh-Mi'!L39</f>
        <v>0</v>
      </c>
      <c r="M39" s="552">
        <f>'Market Data'!$O$52*'Mkt Pen Veh-Mi'!M39</f>
        <v>2.0789983424852204E-4</v>
      </c>
      <c r="N39" s="288">
        <f>'Market Data'!$Y$52*'Mkt Pen Veh-Mi'!N39</f>
        <v>2.7389532308389274E-2</v>
      </c>
      <c r="O39" s="289">
        <f>'Market Data'!$Y$52*'Mkt Pen Veh-Mi'!O39</f>
        <v>2.0927220334317834E-2</v>
      </c>
      <c r="P39" s="289">
        <f>'Market Data'!$Y$52*'Mkt Pen Veh-Mi'!P39</f>
        <v>4.0576155233928358E-2</v>
      </c>
      <c r="Q39" s="547">
        <f>'Market Data'!$Y$52*'Mkt Pen Veh-Mi'!Q39</f>
        <v>0</v>
      </c>
      <c r="R39" s="547">
        <f>'Market Data'!$Y$52*'Mkt Pen Veh-Mi'!R39</f>
        <v>2.7397589259794459E-4</v>
      </c>
      <c r="S39" s="552">
        <f>'Market Data'!$Y$52*'Mkt Pen Veh-Mi'!S39</f>
        <v>5.1152351834490633E-4</v>
      </c>
      <c r="T39" s="288">
        <f t="shared" si="6"/>
        <v>0.1141987534963675</v>
      </c>
      <c r="U39" s="290">
        <f t="shared" si="8"/>
        <v>0.88580124650363234</v>
      </c>
    </row>
    <row r="40" spans="1:21" ht="15" x14ac:dyDescent="0.25">
      <c r="A40" s="275">
        <v>2038</v>
      </c>
      <c r="B40" s="288">
        <f>'Market Data'!$E$52*'Mkt Pen Veh-Mi'!B40</f>
        <v>1.871052508804371E-2</v>
      </c>
      <c r="C40" s="289">
        <f>'Market Data'!$E$52*'Mkt Pen Veh-Mi'!C40</f>
        <v>0.3428764999576237</v>
      </c>
      <c r="D40" s="289">
        <f>'Market Data'!$E$52*'Mkt Pen Veh-Mi'!D40</f>
        <v>0.30684222269425909</v>
      </c>
      <c r="E40" s="547">
        <f>'Market Data'!$E$52*'Mkt Pen Veh-Mi'!E40</f>
        <v>0</v>
      </c>
      <c r="F40" s="547">
        <f>'Market Data'!$E$52*'Mkt Pen Veh-Mi'!F40</f>
        <v>0</v>
      </c>
      <c r="G40" s="552">
        <f>'Market Data'!$E$52*'Mkt Pen Veh-Mi'!G40</f>
        <v>0</v>
      </c>
      <c r="H40" s="288">
        <f>'Market Data'!$O$52*'Mkt Pen Veh-Mi'!H40</f>
        <v>6.5970578135650562E-2</v>
      </c>
      <c r="I40" s="289">
        <f>'Market Data'!$O$52*'Mkt Pen Veh-Mi'!I40</f>
        <v>9.3694651090102707E-2</v>
      </c>
      <c r="J40" s="289">
        <f>'Market Data'!$O$52*'Mkt Pen Veh-Mi'!J40</f>
        <v>8.1869532654360366E-2</v>
      </c>
      <c r="K40" s="547">
        <f>'Market Data'!$O$52*'Mkt Pen Veh-Mi'!K40</f>
        <v>0</v>
      </c>
      <c r="L40" s="547">
        <f>'Market Data'!$O$52*'Mkt Pen Veh-Mi'!L40</f>
        <v>0</v>
      </c>
      <c r="M40" s="552">
        <f>'Market Data'!$O$52*'Mkt Pen Veh-Mi'!M40</f>
        <v>3.5758309238147906E-4</v>
      </c>
      <c r="N40" s="288">
        <f>'Market Data'!$Y$52*'Mkt Pen Veh-Mi'!N40</f>
        <v>2.4841330708371464E-2</v>
      </c>
      <c r="O40" s="289">
        <f>'Market Data'!$Y$52*'Mkt Pen Veh-Mi'!O40</f>
        <v>2.3556959482606245E-2</v>
      </c>
      <c r="P40" s="289">
        <f>'Market Data'!$Y$52*'Mkt Pen Veh-Mi'!P40</f>
        <v>4.0251501809351983E-2</v>
      </c>
      <c r="Q40" s="547">
        <f>'Market Data'!$Y$52*'Mkt Pen Veh-Mi'!Q40</f>
        <v>0</v>
      </c>
      <c r="R40" s="547">
        <f>'Market Data'!$Y$52*'Mkt Pen Veh-Mi'!R40</f>
        <v>4.3227897338700785E-4</v>
      </c>
      <c r="S40" s="552">
        <f>'Market Data'!$Y$52*'Mkt Pen Veh-Mi'!S40</f>
        <v>5.963363138616186E-4</v>
      </c>
      <c r="T40" s="288">
        <f t="shared" si="6"/>
        <v>0.10952243393206573</v>
      </c>
      <c r="U40" s="290">
        <f t="shared" si="8"/>
        <v>0.89047756606793427</v>
      </c>
    </row>
    <row r="41" spans="1:21" ht="15" x14ac:dyDescent="0.25">
      <c r="A41" s="275">
        <v>2039</v>
      </c>
      <c r="B41" s="288">
        <f>'Market Data'!$E$52*'Mkt Pen Veh-Mi'!B41</f>
        <v>1.6868998374226625E-2</v>
      </c>
      <c r="C41" s="289">
        <f>'Market Data'!$E$52*'Mkt Pen Veh-Mi'!C41</f>
        <v>0.34133632156295879</v>
      </c>
      <c r="D41" s="289">
        <f>'Market Data'!$E$52*'Mkt Pen Veh-Mi'!D41</f>
        <v>0.31022392780274105</v>
      </c>
      <c r="E41" s="547">
        <f>'Market Data'!$E$52*'Mkt Pen Veh-Mi'!E41</f>
        <v>0</v>
      </c>
      <c r="F41" s="547">
        <f>'Market Data'!$E$52*'Mkt Pen Veh-Mi'!F41</f>
        <v>0</v>
      </c>
      <c r="G41" s="552">
        <f>'Market Data'!$E$52*'Mkt Pen Veh-Mi'!G41</f>
        <v>0</v>
      </c>
      <c r="H41" s="288">
        <f>'Market Data'!$O$52*'Mkt Pen Veh-Mi'!H41</f>
        <v>6.3711461612892026E-2</v>
      </c>
      <c r="I41" s="289">
        <f>'Market Data'!$O$52*'Mkt Pen Veh-Mi'!I41</f>
        <v>9.4290542198853175E-2</v>
      </c>
      <c r="J41" s="289">
        <f>'Market Data'!$O$52*'Mkt Pen Veh-Mi'!J41</f>
        <v>8.3159026300774139E-2</v>
      </c>
      <c r="K41" s="547">
        <f>'Market Data'!$O$52*'Mkt Pen Veh-Mi'!K41</f>
        <v>0</v>
      </c>
      <c r="L41" s="547">
        <f>'Market Data'!$O$52*'Mkt Pen Veh-Mi'!L41</f>
        <v>9.2485087865021431E-6</v>
      </c>
      <c r="M41" s="552">
        <f>'Market Data'!$O$52*'Mkt Pen Veh-Mi'!M41</f>
        <v>7.220663511892521E-4</v>
      </c>
      <c r="N41" s="288">
        <f>'Market Data'!$Y$52*'Mkt Pen Veh-Mi'!N41</f>
        <v>2.0783777207874908E-2</v>
      </c>
      <c r="O41" s="289">
        <f>'Market Data'!$Y$52*'Mkt Pen Veh-Mi'!O41</f>
        <v>2.6561038683718948E-2</v>
      </c>
      <c r="P41" s="289">
        <f>'Market Data'!$Y$52*'Mkt Pen Veh-Mi'!P41</f>
        <v>4.0935514956572078E-2</v>
      </c>
      <c r="Q41" s="547">
        <f>'Market Data'!$Y$52*'Mkt Pen Veh-Mi'!Q41</f>
        <v>0</v>
      </c>
      <c r="R41" s="547">
        <f>'Market Data'!$Y$52*'Mkt Pen Veh-Mi'!R41</f>
        <v>6.4240400461961606E-4</v>
      </c>
      <c r="S41" s="552">
        <f>'Market Data'!$Y$52*'Mkt Pen Veh-Mi'!S41</f>
        <v>7.5567243479275886E-4</v>
      </c>
      <c r="T41" s="288">
        <f t="shared" si="6"/>
        <v>0.10136423719499356</v>
      </c>
      <c r="U41" s="290">
        <f t="shared" si="8"/>
        <v>0.89863576280500623</v>
      </c>
    </row>
    <row r="42" spans="1:21" ht="15" x14ac:dyDescent="0.25">
      <c r="A42" s="274">
        <v>2040</v>
      </c>
      <c r="B42" s="291">
        <f>'Market Data'!$E$52*'Mkt Pen Veh-Mi'!B42</f>
        <v>1.6683741332404342E-2</v>
      </c>
      <c r="C42" s="292">
        <f>'Market Data'!$E$52*'Mkt Pen Veh-Mi'!C42</f>
        <v>0.33779276379910894</v>
      </c>
      <c r="D42" s="292">
        <f>'Market Data'!$E$52*'Mkt Pen Veh-Mi'!D42</f>
        <v>0.31395274260841327</v>
      </c>
      <c r="E42" s="548">
        <f>'Market Data'!$E$52*'Mkt Pen Veh-Mi'!E42</f>
        <v>0</v>
      </c>
      <c r="F42" s="548">
        <f>'Market Data'!$E$52*'Mkt Pen Veh-Mi'!F42</f>
        <v>0</v>
      </c>
      <c r="G42" s="553">
        <f>'Market Data'!$E$52*'Mkt Pen Veh-Mi'!G42</f>
        <v>0</v>
      </c>
      <c r="H42" s="291">
        <f>'Market Data'!$O$52*'Mkt Pen Veh-Mi'!H42</f>
        <v>6.2571133409631885E-2</v>
      </c>
      <c r="I42" s="292">
        <f>'Market Data'!$O$52*'Mkt Pen Veh-Mi'!I42</f>
        <v>9.3414168116965499E-2</v>
      </c>
      <c r="J42" s="292">
        <f>'Market Data'!$O$52*'Mkt Pen Veh-Mi'!J42</f>
        <v>8.4215636504577696E-2</v>
      </c>
      <c r="K42" s="548">
        <f>'Market Data'!$O$52*'Mkt Pen Veh-Mi'!K42</f>
        <v>0</v>
      </c>
      <c r="L42" s="548">
        <f>'Market Data'!$O$52*'Mkt Pen Veh-Mi'!L42</f>
        <v>1.8361016377655039E-4</v>
      </c>
      <c r="M42" s="553">
        <f>'Market Data'!$O$52*'Mkt Pen Veh-Mi'!M42</f>
        <v>1.5077967775434724E-3</v>
      </c>
      <c r="N42" s="291">
        <f>'Market Data'!$Y$52*'Mkt Pen Veh-Mi'!N42</f>
        <v>1.6791697443113211E-2</v>
      </c>
      <c r="O42" s="292">
        <f>'Market Data'!$Y$52*'Mkt Pen Veh-Mi'!O42</f>
        <v>2.9105155748403066E-2</v>
      </c>
      <c r="P42" s="292">
        <f>'Market Data'!$Y$52*'Mkt Pen Veh-Mi'!P42</f>
        <v>4.1843190455238231E-2</v>
      </c>
      <c r="Q42" s="548">
        <f>'Market Data'!$Y$52*'Mkt Pen Veh-Mi'!Q42</f>
        <v>0</v>
      </c>
      <c r="R42" s="548">
        <f>'Market Data'!$Y$52*'Mkt Pen Veh-Mi'!R42</f>
        <v>9.5446458637491111E-4</v>
      </c>
      <c r="S42" s="553">
        <f>'Market Data'!$Y$52*'Mkt Pen Veh-Mi'!S42</f>
        <v>9.8389905444890447E-4</v>
      </c>
      <c r="T42" s="291">
        <f t="shared" si="6"/>
        <v>9.6046572185149434E-2</v>
      </c>
      <c r="U42" s="293">
        <f t="shared" si="8"/>
        <v>0.90395342781485055</v>
      </c>
    </row>
    <row r="43" spans="1:21" ht="15" x14ac:dyDescent="0.25">
      <c r="A43" s="275">
        <v>2041</v>
      </c>
      <c r="B43" s="295">
        <f>'Market Data'!$E$52*'Mkt Pen Veh-Mi'!B43</f>
        <v>1.5688961597696633E-2</v>
      </c>
      <c r="C43" s="296">
        <f>'Market Data'!$E$52*'Mkt Pen Veh-Mi'!C43</f>
        <v>0.33526026498891304</v>
      </c>
      <c r="D43" s="296">
        <f>'Market Data'!$E$52*'Mkt Pen Veh-Mi'!D43</f>
        <v>0.31748002115331686</v>
      </c>
      <c r="E43" s="549">
        <f>'Market Data'!$E$52*'Mkt Pen Veh-Mi'!E43</f>
        <v>0</v>
      </c>
      <c r="F43" s="549">
        <f>'Market Data'!$E$52*'Mkt Pen Veh-Mi'!F43</f>
        <v>0</v>
      </c>
      <c r="G43" s="554">
        <f>'Market Data'!$E$52*'Mkt Pen Veh-Mi'!G43</f>
        <v>0</v>
      </c>
      <c r="H43" s="295">
        <f>'Market Data'!$O$52*'Mkt Pen Veh-Mi'!H43</f>
        <v>6.0822271416792965E-2</v>
      </c>
      <c r="I43" s="296">
        <f>'Market Data'!$O$52*'Mkt Pen Veh-Mi'!I43</f>
        <v>9.1808877053708035E-2</v>
      </c>
      <c r="J43" s="296">
        <f>'Market Data'!$O$52*'Mkt Pen Veh-Mi'!J43</f>
        <v>8.43593367562782E-2</v>
      </c>
      <c r="K43" s="549">
        <f>'Market Data'!$O$52*'Mkt Pen Veh-Mi'!K43</f>
        <v>0</v>
      </c>
      <c r="L43" s="549">
        <f>'Market Data'!$O$52*'Mkt Pen Veh-Mi'!L43</f>
        <v>1.5147216200520964E-3</v>
      </c>
      <c r="M43" s="554">
        <f>'Market Data'!$O$52*'Mkt Pen Veh-Mi'!M43</f>
        <v>3.3871381256638067E-3</v>
      </c>
      <c r="N43" s="295">
        <f>'Market Data'!$Y$52*'Mkt Pen Veh-Mi'!N43</f>
        <v>1.211780831178213E-2</v>
      </c>
      <c r="O43" s="296">
        <f>'Market Data'!$Y$52*'Mkt Pen Veh-Mi'!O43</f>
        <v>3.146384438916091E-2</v>
      </c>
      <c r="P43" s="296">
        <f>'Market Data'!$Y$52*'Mkt Pen Veh-Mi'!P43</f>
        <v>4.3218583916626994E-2</v>
      </c>
      <c r="Q43" s="549">
        <f>'Market Data'!$Y$52*'Mkt Pen Veh-Mi'!Q43</f>
        <v>0</v>
      </c>
      <c r="R43" s="549">
        <f>'Market Data'!$Y$52*'Mkt Pen Veh-Mi'!R43</f>
        <v>1.4794648606968165E-3</v>
      </c>
      <c r="S43" s="554">
        <f>'Market Data'!$Y$52*'Mkt Pen Veh-Mi'!S43</f>
        <v>1.3987058093114504E-3</v>
      </c>
      <c r="T43" s="298">
        <f t="shared" si="6"/>
        <v>8.8629041326271724E-2</v>
      </c>
      <c r="U43" s="299">
        <f t="shared" si="8"/>
        <v>0.91137095867372819</v>
      </c>
    </row>
    <row r="44" spans="1:21" ht="15" x14ac:dyDescent="0.25">
      <c r="A44" s="275">
        <v>2042</v>
      </c>
      <c r="B44" s="288">
        <f>'Market Data'!$E$52*'Mkt Pen Veh-Mi'!B44</f>
        <v>1.5970335970560589E-2</v>
      </c>
      <c r="C44" s="289">
        <f>'Market Data'!$E$52*'Mkt Pen Veh-Mi'!C44</f>
        <v>0.33270886058570975</v>
      </c>
      <c r="D44" s="289">
        <f>'Market Data'!$E$52*'Mkt Pen Veh-Mi'!D44</f>
        <v>0.31971978571350879</v>
      </c>
      <c r="E44" s="547">
        <f>'Market Data'!$E$52*'Mkt Pen Veh-Mi'!E44</f>
        <v>0</v>
      </c>
      <c r="F44" s="547">
        <f>'Market Data'!$E$52*'Mkt Pen Veh-Mi'!F44</f>
        <v>2.3869379844907926E-5</v>
      </c>
      <c r="G44" s="552">
        <f>'Market Data'!$E$52*'Mkt Pen Veh-Mi'!G44</f>
        <v>6.3960903024696986E-6</v>
      </c>
      <c r="H44" s="288">
        <f>'Market Data'!$O$52*'Mkt Pen Veh-Mi'!H44</f>
        <v>5.8098438735544163E-2</v>
      </c>
      <c r="I44" s="289">
        <f>'Market Data'!$O$52*'Mkt Pen Veh-Mi'!I44</f>
        <v>8.8068581711042482E-2</v>
      </c>
      <c r="J44" s="289">
        <f>'Market Data'!$O$52*'Mkt Pen Veh-Mi'!J44</f>
        <v>8.2183642004443738E-2</v>
      </c>
      <c r="K44" s="547">
        <f>'Market Data'!$O$52*'Mkt Pen Veh-Mi'!K44</f>
        <v>0</v>
      </c>
      <c r="L44" s="547">
        <f>'Market Data'!$O$52*'Mkt Pen Veh-Mi'!L44</f>
        <v>6.2040669820993379E-3</v>
      </c>
      <c r="M44" s="552">
        <f>'Market Data'!$O$52*'Mkt Pen Veh-Mi'!M44</f>
        <v>7.3376155393653679E-3</v>
      </c>
      <c r="N44" s="288">
        <f>'Market Data'!$Y$52*'Mkt Pen Veh-Mi'!N44</f>
        <v>7.4273878043861364E-3</v>
      </c>
      <c r="O44" s="289">
        <f>'Market Data'!$Y$52*'Mkt Pen Veh-Mi'!O44</f>
        <v>3.3360883588703566E-2</v>
      </c>
      <c r="P44" s="289">
        <f>'Market Data'!$Y$52*'Mkt Pen Veh-Mi'!P44</f>
        <v>4.4479949134381275E-2</v>
      </c>
      <c r="Q44" s="547">
        <f>'Market Data'!$Y$52*'Mkt Pen Veh-Mi'!Q44</f>
        <v>0</v>
      </c>
      <c r="R44" s="547">
        <f>'Market Data'!$Y$52*'Mkt Pen Veh-Mi'!R44</f>
        <v>2.3135502088420063E-3</v>
      </c>
      <c r="S44" s="552">
        <f>'Market Data'!$Y$52*'Mkt Pen Veh-Mi'!S44</f>
        <v>2.096636551265321E-3</v>
      </c>
      <c r="T44" s="288">
        <f t="shared" si="6"/>
        <v>8.1496162510490883E-2</v>
      </c>
      <c r="U44" s="290">
        <f t="shared" si="8"/>
        <v>0.91850383748950903</v>
      </c>
    </row>
    <row r="45" spans="1:21" ht="15" x14ac:dyDescent="0.25">
      <c r="A45" s="275">
        <v>2043</v>
      </c>
      <c r="B45" s="288">
        <f>'Market Data'!$E$52*'Mkt Pen Veh-Mi'!B45</f>
        <v>1.6439445341585628E-2</v>
      </c>
      <c r="C45" s="289">
        <f>'Market Data'!$E$52*'Mkt Pen Veh-Mi'!C45</f>
        <v>0.32780763731268409</v>
      </c>
      <c r="D45" s="289">
        <f>'Market Data'!$E$52*'Mkt Pen Veh-Mi'!D45</f>
        <v>0.31932396045740424</v>
      </c>
      <c r="E45" s="547">
        <f>'Market Data'!$E$52*'Mkt Pen Veh-Mi'!E45</f>
        <v>0</v>
      </c>
      <c r="F45" s="547">
        <f>'Market Data'!$E$52*'Mkt Pen Veh-Mi'!F45</f>
        <v>3.860811344135406E-3</v>
      </c>
      <c r="G45" s="552">
        <f>'Market Data'!$E$52*'Mkt Pen Veh-Mi'!G45</f>
        <v>9.9739328411716714E-4</v>
      </c>
      <c r="H45" s="288">
        <f>'Market Data'!$O$52*'Mkt Pen Veh-Mi'!H45</f>
        <v>5.7285252673783114E-2</v>
      </c>
      <c r="I45" s="289">
        <f>'Market Data'!$O$52*'Mkt Pen Veh-Mi'!I45</f>
        <v>8.0842311690923305E-2</v>
      </c>
      <c r="J45" s="289">
        <f>'Market Data'!$O$52*'Mkt Pen Veh-Mi'!J45</f>
        <v>7.6428065109683946E-2</v>
      </c>
      <c r="K45" s="547">
        <f>'Market Data'!$O$52*'Mkt Pen Veh-Mi'!K45</f>
        <v>0</v>
      </c>
      <c r="L45" s="547">
        <f>'Market Data'!$O$52*'Mkt Pen Veh-Mi'!L45</f>
        <v>1.3467666792956995E-2</v>
      </c>
      <c r="M45" s="552">
        <f>'Market Data'!$O$52*'Mkt Pen Veh-Mi'!M45</f>
        <v>1.3869048705147737E-2</v>
      </c>
      <c r="N45" s="288">
        <f>'Market Data'!$Y$52*'Mkt Pen Veh-Mi'!N45</f>
        <v>3.8062726928597117E-3</v>
      </c>
      <c r="O45" s="289">
        <f>'Market Data'!$Y$52*'Mkt Pen Veh-Mi'!O45</f>
        <v>3.4635212090787369E-2</v>
      </c>
      <c r="P45" s="289">
        <f>'Market Data'!$Y$52*'Mkt Pen Veh-Mi'!P45</f>
        <v>4.4644784306146545E-2</v>
      </c>
      <c r="Q45" s="547">
        <f>'Market Data'!$Y$52*'Mkt Pen Veh-Mi'!Q45</f>
        <v>2.1336284359723867E-6</v>
      </c>
      <c r="R45" s="547">
        <f>'Market Data'!$Y$52*'Mkt Pen Veh-Mi'!R45</f>
        <v>3.3951387686320346E-3</v>
      </c>
      <c r="S45" s="552">
        <f>'Market Data'!$Y$52*'Mkt Pen Veh-Mi'!S45</f>
        <v>3.1948658007166799E-3</v>
      </c>
      <c r="T45" s="288">
        <f t="shared" si="6"/>
        <v>7.7530970708228453E-2</v>
      </c>
      <c r="U45" s="290">
        <f t="shared" si="8"/>
        <v>0.92246902929177155</v>
      </c>
    </row>
    <row r="46" spans="1:21" ht="15" x14ac:dyDescent="0.25">
      <c r="A46" s="275">
        <v>2044</v>
      </c>
      <c r="B46" s="288">
        <f>'Market Data'!$E$52*'Mkt Pen Veh-Mi'!B46</f>
        <v>1.6826659548759552E-2</v>
      </c>
      <c r="C46" s="289">
        <f>'Market Data'!$E$52*'Mkt Pen Veh-Mi'!C46</f>
        <v>0.31127319809803017</v>
      </c>
      <c r="D46" s="289">
        <f>'Market Data'!$E$52*'Mkt Pen Veh-Mi'!D46</f>
        <v>0.30470763300682996</v>
      </c>
      <c r="E46" s="547">
        <f>'Market Data'!$E$52*'Mkt Pen Veh-Mi'!E46</f>
        <v>0</v>
      </c>
      <c r="F46" s="547">
        <f>'Market Data'!$E$52*'Mkt Pen Veh-Mi'!F46</f>
        <v>2.7498898349714595E-2</v>
      </c>
      <c r="G46" s="552">
        <f>'Market Data'!$E$52*'Mkt Pen Veh-Mi'!G46</f>
        <v>8.1228587365921919E-3</v>
      </c>
      <c r="H46" s="288">
        <f>'Market Data'!$O$52*'Mkt Pen Veh-Mi'!H46</f>
        <v>5.6212131384202529E-2</v>
      </c>
      <c r="I46" s="289">
        <f>'Market Data'!$O$52*'Mkt Pen Veh-Mi'!I46</f>
        <v>7.2456478828627574E-2</v>
      </c>
      <c r="J46" s="289">
        <f>'Market Data'!$O$52*'Mkt Pen Veh-Mi'!J46</f>
        <v>6.9207362116543839E-2</v>
      </c>
      <c r="K46" s="547">
        <f>'Market Data'!$O$52*'Mkt Pen Veh-Mi'!K46</f>
        <v>1.4775631942746042E-4</v>
      </c>
      <c r="L46" s="547">
        <f>'Market Data'!$O$52*'Mkt Pen Veh-Mi'!L46</f>
        <v>2.1530637880323816E-2</v>
      </c>
      <c r="M46" s="552">
        <f>'Market Data'!$O$52*'Mkt Pen Veh-Mi'!M46</f>
        <v>2.2337978443369884E-2</v>
      </c>
      <c r="N46" s="288">
        <f>'Market Data'!$Y$52*'Mkt Pen Veh-Mi'!N46</f>
        <v>1.4630114788026704E-3</v>
      </c>
      <c r="O46" s="289">
        <f>'Market Data'!$Y$52*'Mkt Pen Veh-Mi'!O46</f>
        <v>3.4988537797693044E-2</v>
      </c>
      <c r="P46" s="289">
        <f>'Market Data'!$Y$52*'Mkt Pen Veh-Mi'!P46</f>
        <v>4.3580205730314001E-2</v>
      </c>
      <c r="Q46" s="547">
        <f>'Market Data'!$Y$52*'Mkt Pen Veh-Mi'!Q46</f>
        <v>1.0830001157281643E-4</v>
      </c>
      <c r="R46" s="547">
        <f>'Market Data'!$Y$52*'Mkt Pen Veh-Mi'!R46</f>
        <v>4.7796515345779082E-3</v>
      </c>
      <c r="S46" s="552">
        <f>'Market Data'!$Y$52*'Mkt Pen Veh-Mi'!S46</f>
        <v>4.7587007346178746E-3</v>
      </c>
      <c r="T46" s="288">
        <f t="shared" si="6"/>
        <v>7.4501802411764753E-2</v>
      </c>
      <c r="U46" s="290">
        <f t="shared" si="8"/>
        <v>0.92549819758823526</v>
      </c>
    </row>
    <row r="47" spans="1:21" ht="15" x14ac:dyDescent="0.25">
      <c r="A47" s="274">
        <v>2045</v>
      </c>
      <c r="B47" s="291">
        <f>'Market Data'!$E$52*'Mkt Pen Veh-Mi'!B47</f>
        <v>1.5522235806133659E-2</v>
      </c>
      <c r="C47" s="292">
        <f>'Market Data'!$E$52*'Mkt Pen Veh-Mi'!C47</f>
        <v>0.27536395757842208</v>
      </c>
      <c r="D47" s="292">
        <f>'Market Data'!$E$52*'Mkt Pen Veh-Mi'!D47</f>
        <v>0.27028234704392612</v>
      </c>
      <c r="E47" s="548">
        <f>'Market Data'!$E$52*'Mkt Pen Veh-Mi'!E47</f>
        <v>2.3253322015991122E-3</v>
      </c>
      <c r="F47" s="548">
        <f>'Market Data'!$E$52*'Mkt Pen Veh-Mi'!F47</f>
        <v>7.3006661978636048E-2</v>
      </c>
      <c r="G47" s="553">
        <f>'Market Data'!$E$52*'Mkt Pen Veh-Mi'!G47</f>
        <v>3.1928713131209485E-2</v>
      </c>
      <c r="H47" s="291">
        <f>'Market Data'!$O$52*'Mkt Pen Veh-Mi'!H47</f>
        <v>5.5118540131156621E-2</v>
      </c>
      <c r="I47" s="292">
        <f>'Market Data'!$O$52*'Mkt Pen Veh-Mi'!I47</f>
        <v>6.4373054950841377E-2</v>
      </c>
      <c r="J47" s="292">
        <f>'Market Data'!$O$52*'Mkt Pen Veh-Mi'!J47</f>
        <v>6.2098216679425056E-2</v>
      </c>
      <c r="K47" s="548">
        <f>'Market Data'!$O$52*'Mkt Pen Veh-Mi'!K47</f>
        <v>1.6756662269270819E-3</v>
      </c>
      <c r="L47" s="548">
        <f>'Market Data'!$O$52*'Mkt Pen Veh-Mi'!L47</f>
        <v>2.8920917487515241E-2</v>
      </c>
      <c r="M47" s="553">
        <f>'Market Data'!$O$52*'Mkt Pen Veh-Mi'!M47</f>
        <v>2.9705949496629691E-2</v>
      </c>
      <c r="N47" s="291">
        <f>'Market Data'!$Y$52*'Mkt Pen Veh-Mi'!N47</f>
        <v>3.8173814986228719E-4</v>
      </c>
      <c r="O47" s="292">
        <f>'Market Data'!$Y$52*'Mkt Pen Veh-Mi'!O47</f>
        <v>3.4058552586686407E-2</v>
      </c>
      <c r="P47" s="292">
        <f>'Market Data'!$Y$52*'Mkt Pen Veh-Mi'!P47</f>
        <v>4.105961402718785E-2</v>
      </c>
      <c r="Q47" s="548">
        <f>'Market Data'!$Y$52*'Mkt Pen Veh-Mi'!Q47</f>
        <v>7.4058025402638588E-4</v>
      </c>
      <c r="R47" s="548">
        <f>'Market Data'!$Y$52*'Mkt Pen Veh-Mi'!R47</f>
        <v>6.5111144946803012E-3</v>
      </c>
      <c r="S47" s="553">
        <f>'Market Data'!$Y$52*'Mkt Pen Veh-Mi'!S47</f>
        <v>6.926807775135083E-3</v>
      </c>
      <c r="T47" s="291">
        <f t="shared" si="6"/>
        <v>7.1022514087152572E-2</v>
      </c>
      <c r="U47" s="293">
        <f t="shared" si="8"/>
        <v>0.92897748591284734</v>
      </c>
    </row>
    <row r="48" spans="1:21" ht="15" x14ac:dyDescent="0.25">
      <c r="A48" s="275">
        <v>2046</v>
      </c>
      <c r="B48" s="295">
        <f>'Market Data'!$E$52*'Mkt Pen Veh-Mi'!B48</f>
        <v>1.7386839178409812E-2</v>
      </c>
      <c r="C48" s="296">
        <f>'Market Data'!$E$52*'Mkt Pen Veh-Mi'!C48</f>
        <v>0.23891790916710287</v>
      </c>
      <c r="D48" s="296">
        <f>'Market Data'!$E$52*'Mkt Pen Veh-Mi'!D48</f>
        <v>0.23527169917848906</v>
      </c>
      <c r="E48" s="549">
        <f>'Market Data'!$E$52*'Mkt Pen Veh-Mi'!E48</f>
        <v>1.5574413411713586E-2</v>
      </c>
      <c r="F48" s="549">
        <f>'Market Data'!$E$52*'Mkt Pen Veh-Mi'!F48</f>
        <v>0.10378360300049506</v>
      </c>
      <c r="G48" s="554">
        <f>'Market Data'!$E$52*'Mkt Pen Veh-Mi'!G48</f>
        <v>5.7494783803716087E-2</v>
      </c>
      <c r="H48" s="295">
        <f>'Market Data'!$O$52*'Mkt Pen Veh-Mi'!H48</f>
        <v>5.5115463712078205E-2</v>
      </c>
      <c r="I48" s="296">
        <f>'Market Data'!$O$52*'Mkt Pen Veh-Mi'!I48</f>
        <v>5.8554064038736975E-2</v>
      </c>
      <c r="J48" s="296">
        <f>'Market Data'!$O$52*'Mkt Pen Veh-Mi'!J48</f>
        <v>5.7044782664098299E-2</v>
      </c>
      <c r="K48" s="549">
        <f>'Market Data'!$O$52*'Mkt Pen Veh-Mi'!K48</f>
        <v>4.1186222558006356E-3</v>
      </c>
      <c r="L48" s="549">
        <f>'Market Data'!$O$52*'Mkt Pen Veh-Mi'!L48</f>
        <v>3.2836090148991373E-2</v>
      </c>
      <c r="M48" s="554">
        <f>'Market Data'!$O$52*'Mkt Pen Veh-Mi'!M48</f>
        <v>3.4223322152789601E-2</v>
      </c>
      <c r="N48" s="295">
        <f>'Market Data'!$Y$52*'Mkt Pen Veh-Mi'!N48</f>
        <v>3.1626303187966078E-5</v>
      </c>
      <c r="O48" s="296">
        <f>'Market Data'!$Y$52*'Mkt Pen Veh-Mi'!O48</f>
        <v>3.2291202061345073E-2</v>
      </c>
      <c r="P48" s="296">
        <f>'Market Data'!$Y$52*'Mkt Pen Veh-Mi'!P48</f>
        <v>3.8176266412477608E-2</v>
      </c>
      <c r="Q48" s="549">
        <f>'Market Data'!$Y$52*'Mkt Pen Veh-Mi'!Q48</f>
        <v>2.0411927976458546E-3</v>
      </c>
      <c r="R48" s="549">
        <f>'Market Data'!$Y$52*'Mkt Pen Veh-Mi'!R48</f>
        <v>8.2109556949704829E-3</v>
      </c>
      <c r="S48" s="554">
        <f>'Market Data'!$Y$52*'Mkt Pen Veh-Mi'!S48</f>
        <v>8.9271640179513275E-3</v>
      </c>
      <c r="T48" s="298">
        <f t="shared" si="6"/>
        <v>7.2533929193675989E-2</v>
      </c>
      <c r="U48" s="299">
        <f t="shared" si="8"/>
        <v>0.92746607080632382</v>
      </c>
    </row>
    <row r="49" spans="1:21" ht="15" x14ac:dyDescent="0.25">
      <c r="A49" s="275">
        <v>2047</v>
      </c>
      <c r="B49" s="288">
        <f>'Market Data'!$E$52*'Mkt Pen Veh-Mi'!B49</f>
        <v>1.6161304132839199E-2</v>
      </c>
      <c r="C49" s="289">
        <f>'Market Data'!$E$52*'Mkt Pen Veh-Mi'!C49</f>
        <v>0.21217924082312947</v>
      </c>
      <c r="D49" s="289">
        <f>'Market Data'!$E$52*'Mkt Pen Veh-Mi'!D49</f>
        <v>0.2090112164780801</v>
      </c>
      <c r="E49" s="547">
        <f>'Market Data'!$E$52*'Mkt Pen Veh-Mi'!E49</f>
        <v>3.3941299534452872E-2</v>
      </c>
      <c r="F49" s="547">
        <f>'Market Data'!$E$52*'Mkt Pen Veh-Mi'!F49</f>
        <v>0.12155092476627929</v>
      </c>
      <c r="G49" s="552">
        <f>'Market Data'!$E$52*'Mkt Pen Veh-Mi'!G49</f>
        <v>7.5585262005145551E-2</v>
      </c>
      <c r="H49" s="288">
        <f>'Market Data'!$O$52*'Mkt Pen Veh-Mi'!H49</f>
        <v>5.4713159979285442E-2</v>
      </c>
      <c r="I49" s="289">
        <f>'Market Data'!$O$52*'Mkt Pen Veh-Mi'!I49</f>
        <v>5.4416203815984353E-2</v>
      </c>
      <c r="J49" s="289">
        <f>'Market Data'!$O$52*'Mkt Pen Veh-Mi'!J49</f>
        <v>5.323151032974887E-2</v>
      </c>
      <c r="K49" s="547">
        <f>'Market Data'!$O$52*'Mkt Pen Veh-Mi'!K49</f>
        <v>6.2941227259696786E-3</v>
      </c>
      <c r="L49" s="547">
        <f>'Market Data'!$O$52*'Mkt Pen Veh-Mi'!L49</f>
        <v>3.602567712015365E-2</v>
      </c>
      <c r="M49" s="552">
        <f>'Market Data'!$O$52*'Mkt Pen Veh-Mi'!M49</f>
        <v>3.72116710013531E-2</v>
      </c>
      <c r="N49" s="288">
        <f>'Market Data'!$Y$52*'Mkt Pen Veh-Mi'!N49</f>
        <v>1.364175289788738E-5</v>
      </c>
      <c r="O49" s="289">
        <f>'Market Data'!$Y$52*'Mkt Pen Veh-Mi'!O49</f>
        <v>3.0260987747270901E-2</v>
      </c>
      <c r="P49" s="289">
        <f>'Market Data'!$Y$52*'Mkt Pen Veh-Mi'!P49</f>
        <v>3.492627451836379E-2</v>
      </c>
      <c r="Q49" s="547">
        <f>'Market Data'!$Y$52*'Mkt Pen Veh-Mi'!Q49</f>
        <v>4.1713583440565619E-3</v>
      </c>
      <c r="R49" s="547">
        <f>'Market Data'!$Y$52*'Mkt Pen Veh-Mi'!R49</f>
        <v>9.8604981668407206E-3</v>
      </c>
      <c r="S49" s="552">
        <f>'Market Data'!$Y$52*'Mkt Pen Veh-Mi'!S49</f>
        <v>1.0445646758148448E-2</v>
      </c>
      <c r="T49" s="288">
        <f t="shared" si="6"/>
        <v>7.0888105865022533E-2</v>
      </c>
      <c r="U49" s="290">
        <f t="shared" si="8"/>
        <v>0.9291118941349773</v>
      </c>
    </row>
    <row r="50" spans="1:21" ht="15" x14ac:dyDescent="0.25">
      <c r="A50" s="275">
        <v>2048</v>
      </c>
      <c r="B50" s="288">
        <f>'Market Data'!$E$52*'Mkt Pen Veh-Mi'!B50</f>
        <v>1.599141731501048E-2</v>
      </c>
      <c r="C50" s="289">
        <f>'Market Data'!$E$52*'Mkt Pen Veh-Mi'!C50</f>
        <v>0.1950037066219979</v>
      </c>
      <c r="D50" s="289">
        <f>'Market Data'!$E$52*'Mkt Pen Veh-Mi'!D50</f>
        <v>0.1923230625498164</v>
      </c>
      <c r="E50" s="547">
        <f>'Market Data'!$E$52*'Mkt Pen Veh-Mi'!E50</f>
        <v>4.7031558644078722E-2</v>
      </c>
      <c r="F50" s="547">
        <f>'Market Data'!$E$52*'Mkt Pen Veh-Mi'!F50</f>
        <v>0.13235003947230822</v>
      </c>
      <c r="G50" s="552">
        <f>'Market Data'!$E$52*'Mkt Pen Veh-Mi'!G50</f>
        <v>8.572946313671484E-2</v>
      </c>
      <c r="H50" s="288">
        <f>'Market Data'!$O$52*'Mkt Pen Veh-Mi'!H50</f>
        <v>5.4058358411635449E-2</v>
      </c>
      <c r="I50" s="289">
        <f>'Market Data'!$O$52*'Mkt Pen Veh-Mi'!I50</f>
        <v>5.2201602200954808E-2</v>
      </c>
      <c r="J50" s="289">
        <f>'Market Data'!$O$52*'Mkt Pen Veh-Mi'!J50</f>
        <v>5.1183693275596083E-2</v>
      </c>
      <c r="K50" s="547">
        <f>'Market Data'!$O$52*'Mkt Pen Veh-Mi'!K50</f>
        <v>7.7139727061140357E-3</v>
      </c>
      <c r="L50" s="547">
        <f>'Market Data'!$O$52*'Mkt Pen Veh-Mi'!L50</f>
        <v>3.7882879184596076E-2</v>
      </c>
      <c r="M50" s="552">
        <f>'Market Data'!$O$52*'Mkt Pen Veh-Mi'!M50</f>
        <v>3.885183919359865E-2</v>
      </c>
      <c r="N50" s="288">
        <f>'Market Data'!$Y$52*'Mkt Pen Veh-Mi'!N50</f>
        <v>5.0310758891032492E-6</v>
      </c>
      <c r="O50" s="289">
        <f>'Market Data'!$Y$52*'Mkt Pen Veh-Mi'!O50</f>
        <v>2.8721826770659251E-2</v>
      </c>
      <c r="P50" s="289">
        <f>'Market Data'!$Y$52*'Mkt Pen Veh-Mi'!P50</f>
        <v>3.2656151571503866E-2</v>
      </c>
      <c r="Q50" s="547">
        <f>'Market Data'!$Y$52*'Mkt Pen Veh-Mi'!Q50</f>
        <v>5.9744487341713204E-3</v>
      </c>
      <c r="R50" s="547">
        <f>'Market Data'!$Y$52*'Mkt Pen Veh-Mi'!R50</f>
        <v>1.1079938878010082E-2</v>
      </c>
      <c r="S50" s="552">
        <f>'Market Data'!$Y$52*'Mkt Pen Veh-Mi'!S50</f>
        <v>1.1241010257344685E-2</v>
      </c>
      <c r="T50" s="288">
        <f t="shared" si="6"/>
        <v>7.0054806802535036E-2</v>
      </c>
      <c r="U50" s="290">
        <f t="shared" si="8"/>
        <v>0.92994519319746494</v>
      </c>
    </row>
    <row r="51" spans="1:21" ht="15" x14ac:dyDescent="0.25">
      <c r="A51" s="275">
        <v>2049</v>
      </c>
      <c r="B51" s="288">
        <f>'Market Data'!$E$52*'Mkt Pen Veh-Mi'!B51</f>
        <v>1.611470566555543E-2</v>
      </c>
      <c r="C51" s="289">
        <f>'Market Data'!$E$52*'Mkt Pen Veh-Mi'!C51</f>
        <v>0.18523258813683968</v>
      </c>
      <c r="D51" s="289">
        <f>'Market Data'!$E$52*'Mkt Pen Veh-Mi'!D51</f>
        <v>0.18281295864771341</v>
      </c>
      <c r="E51" s="547">
        <f>'Market Data'!$E$52*'Mkt Pen Veh-Mi'!E51</f>
        <v>5.646371323770024E-2</v>
      </c>
      <c r="F51" s="547">
        <f>'Market Data'!$E$52*'Mkt Pen Veh-Mi'!F51</f>
        <v>0.13786345903909078</v>
      </c>
      <c r="G51" s="552">
        <f>'Market Data'!$E$52*'Mkt Pen Veh-Mi'!G51</f>
        <v>8.9941823013027014E-2</v>
      </c>
      <c r="H51" s="288">
        <f>'Market Data'!$O$52*'Mkt Pen Veh-Mi'!H51</f>
        <v>5.282626766242806E-2</v>
      </c>
      <c r="I51" s="289">
        <f>'Market Data'!$O$52*'Mkt Pen Veh-Mi'!I51</f>
        <v>5.1110282864828147E-2</v>
      </c>
      <c r="J51" s="289">
        <f>'Market Data'!$O$52*'Mkt Pen Veh-Mi'!J51</f>
        <v>5.029263392720839E-2</v>
      </c>
      <c r="K51" s="547">
        <f>'Market Data'!$O$52*'Mkt Pen Veh-Mi'!K51</f>
        <v>8.6181652836985426E-3</v>
      </c>
      <c r="L51" s="547">
        <f>'Market Data'!$O$52*'Mkt Pen Veh-Mi'!L51</f>
        <v>3.9247507223327836E-2</v>
      </c>
      <c r="M51" s="552">
        <f>'Market Data'!$O$52*'Mkt Pen Veh-Mi'!M51</f>
        <v>3.9797488011004106E-2</v>
      </c>
      <c r="N51" s="288">
        <f>'Market Data'!$Y$52*'Mkt Pen Veh-Mi'!N51</f>
        <v>1.4143406851534778E-6</v>
      </c>
      <c r="O51" s="289">
        <f>'Market Data'!$Y$52*'Mkt Pen Veh-Mi'!O51</f>
        <v>2.7536736490811359E-2</v>
      </c>
      <c r="P51" s="289">
        <f>'Market Data'!$Y$52*'Mkt Pen Veh-Mi'!P51</f>
        <v>3.1132760845356825E-2</v>
      </c>
      <c r="Q51" s="547">
        <f>'Market Data'!$Y$52*'Mkt Pen Veh-Mi'!Q51</f>
        <v>7.4619522140505897E-3</v>
      </c>
      <c r="R51" s="547">
        <f>'Market Data'!$Y$52*'Mkt Pen Veh-Mi'!R51</f>
        <v>1.1896117046194588E-2</v>
      </c>
      <c r="S51" s="552">
        <f>'Market Data'!$Y$52*'Mkt Pen Veh-Mi'!S51</f>
        <v>1.1649426350479787E-2</v>
      </c>
      <c r="T51" s="288">
        <f t="shared" si="6"/>
        <v>6.8942387668668642E-2</v>
      </c>
      <c r="U51" s="290">
        <f t="shared" si="8"/>
        <v>0.93105761233133133</v>
      </c>
    </row>
    <row r="52" spans="1:21" ht="15.75" thickBot="1" x14ac:dyDescent="0.3">
      <c r="A52" s="276">
        <v>2050</v>
      </c>
      <c r="B52" s="300">
        <f>'Market Data'!$E$52*'Mkt Pen Veh-Mi'!B52</f>
        <v>1.6320928245075951E-2</v>
      </c>
      <c r="C52" s="301">
        <f>'Market Data'!$E$52*'Mkt Pen Veh-Mi'!C52</f>
        <v>0.17379309010321869</v>
      </c>
      <c r="D52" s="301">
        <f>'Market Data'!$E$52*'Mkt Pen Veh-Mi'!D52</f>
        <v>0.17164830223205413</v>
      </c>
      <c r="E52" s="550">
        <f>'Market Data'!$E$52*'Mkt Pen Veh-Mi'!E52</f>
        <v>6.7763185275538609E-2</v>
      </c>
      <c r="F52" s="550">
        <f>'Market Data'!$E$52*'Mkt Pen Veh-Mi'!F52</f>
        <v>0.14180342735063434</v>
      </c>
      <c r="G52" s="555">
        <f>'Market Data'!$E$52*'Mkt Pen Veh-Mi'!G52</f>
        <v>9.7100314533404786E-2</v>
      </c>
      <c r="H52" s="300">
        <f>'Market Data'!$O$52*'Mkt Pen Veh-Mi'!H52</f>
        <v>5.2291805085938538E-2</v>
      </c>
      <c r="I52" s="301">
        <f>'Market Data'!$O$52*'Mkt Pen Veh-Mi'!I52</f>
        <v>4.9400895515562163E-2</v>
      </c>
      <c r="J52" s="301">
        <f>'Market Data'!$O$52*'Mkt Pen Veh-Mi'!J52</f>
        <v>4.8611523636173902E-2</v>
      </c>
      <c r="K52" s="550">
        <f>'Market Data'!$O$52*'Mkt Pen Veh-Mi'!K52</f>
        <v>9.8419170931862143E-3</v>
      </c>
      <c r="L52" s="550">
        <f>'Market Data'!$O$52*'Mkt Pen Veh-Mi'!L52</f>
        <v>4.0762225776442194E-2</v>
      </c>
      <c r="M52" s="555">
        <f>'Market Data'!$O$52*'Mkt Pen Veh-Mi'!M52</f>
        <v>4.0983977865192103E-2</v>
      </c>
      <c r="N52" s="300">
        <f>'Market Data'!$Y$52*'Mkt Pen Veh-Mi'!N52</f>
        <v>1.3417634354829939E-6</v>
      </c>
      <c r="O52" s="301">
        <f>'Market Data'!$Y$52*'Mkt Pen Veh-Mi'!O52</f>
        <v>2.5228730339239121E-2</v>
      </c>
      <c r="P52" s="301">
        <f>'Market Data'!$Y$52*'Mkt Pen Veh-Mi'!P52</f>
        <v>2.7891348968387603E-2</v>
      </c>
      <c r="Q52" s="550">
        <f>'Market Data'!$Y$52*'Mkt Pen Veh-Mi'!Q52</f>
        <v>1.0883715767610739E-2</v>
      </c>
      <c r="R52" s="550">
        <f>'Market Data'!$Y$52*'Mkt Pen Veh-Mi'!R52</f>
        <v>1.3184511925298273E-2</v>
      </c>
      <c r="S52" s="555">
        <f>'Market Data'!$Y$52*'Mkt Pen Veh-Mi'!S52</f>
        <v>1.2488758523607089E-2</v>
      </c>
      <c r="T52" s="300">
        <f t="shared" si="6"/>
        <v>6.8614075094449972E-2</v>
      </c>
      <c r="U52" s="302">
        <f t="shared" si="8"/>
        <v>0.93138592490554983</v>
      </c>
    </row>
    <row r="53" spans="1:21" x14ac:dyDescent="0.2">
      <c r="A53" s="270"/>
      <c r="B53" s="270"/>
    </row>
    <row r="54" spans="1:21" x14ac:dyDescent="0.2">
      <c r="A54" s="280" t="str">
        <f>"Run id: '"&amp;'Run Model'!B3&amp;"'"</f>
        <v>Run id: 'MDHD Benefits Analysis Preliminary Run 2020-08-27'</v>
      </c>
      <c r="B54" s="270"/>
    </row>
    <row r="55" spans="1:21" x14ac:dyDescent="0.2">
      <c r="A55" s="280" t="s">
        <v>126</v>
      </c>
      <c r="B55" s="270"/>
    </row>
    <row r="56" spans="1:21" x14ac:dyDescent="0.2">
      <c r="A56" s="320" t="str">
        <f>"Combination, Centrally Refueled: " &amp;TEXT(RtimeCls1Cent1,"mm/dd/yyyy hh:mm")</f>
        <v>Combination, Centrally Refueled: 11/04/2020 14:47</v>
      </c>
      <c r="B56" s="271"/>
    </row>
    <row r="57" spans="1:21" x14ac:dyDescent="0.2">
      <c r="A57" s="320" t="str">
        <f>"Combination, Non-Centrally Refueled: " &amp;TEXT(RtimeCls1NCent1,"mm/dd/yyyy hh:mm")</f>
        <v>Combination, Non-Centrally Refueled: 11/04/2020 14:47</v>
      </c>
    </row>
    <row r="58" spans="1:21" x14ac:dyDescent="0.2">
      <c r="A58" s="320" t="str">
        <f>"Single Unit, Centrally Refueled: " &amp;TEXT(RtimeCls2Cent1,"mm/dd/yyyy hh:mm")</f>
        <v>Single Unit, Centrally Refueled: 11/04/2020 14:47</v>
      </c>
    </row>
    <row r="59" spans="1:21" x14ac:dyDescent="0.2">
      <c r="A59" s="320" t="str">
        <f>"Single Unit, Non-Centrally Refueled: " &amp;TEXT(RtimeCls2NCent1,"mm/dd/yyyy hh:mm")</f>
        <v>Single Unit, Non-Centrally Refueled: 11/04/2020 14:47</v>
      </c>
    </row>
  </sheetData>
  <mergeCells count="9">
    <mergeCell ref="A3:U3"/>
    <mergeCell ref="T4:U4"/>
    <mergeCell ref="T5:U5"/>
    <mergeCell ref="N5:S5"/>
    <mergeCell ref="N4:S4"/>
    <mergeCell ref="B5:G5"/>
    <mergeCell ref="B4:G4"/>
    <mergeCell ref="H4:M4"/>
    <mergeCell ref="H5:M5"/>
  </mergeCells>
  <phoneticPr fontId="52"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019"/>
    <col min="2" max="19" width="13.5703125" style="1019" customWidth="1"/>
    <col min="20" max="16384" width="9.140625" style="1019"/>
  </cols>
  <sheetData>
    <row r="1" spans="1:19" ht="15.75" x14ac:dyDescent="0.25">
      <c r="A1" s="1051" t="s">
        <v>310</v>
      </c>
    </row>
    <row r="3" spans="1:19" ht="15.75" thickBot="1" x14ac:dyDescent="0.3"/>
    <row r="4" spans="1:19" x14ac:dyDescent="0.25">
      <c r="A4" s="1020"/>
      <c r="B4" s="1596" t="s">
        <v>249</v>
      </c>
      <c r="C4" s="1597"/>
      <c r="D4" s="1597"/>
      <c r="E4" s="1597"/>
      <c r="F4" s="1597"/>
      <c r="G4" s="1598"/>
      <c r="H4" s="1596" t="s">
        <v>250</v>
      </c>
      <c r="I4" s="1597"/>
      <c r="J4" s="1597"/>
      <c r="K4" s="1597"/>
      <c r="L4" s="1597"/>
      <c r="M4" s="1598"/>
      <c r="N4" s="1596" t="s">
        <v>154</v>
      </c>
      <c r="O4" s="1597"/>
      <c r="P4" s="1597"/>
      <c r="Q4" s="1597"/>
      <c r="R4" s="1597"/>
      <c r="S4" s="1598"/>
    </row>
    <row r="5" spans="1:19" x14ac:dyDescent="0.25">
      <c r="A5" s="1021" t="s">
        <v>309</v>
      </c>
      <c r="B5" s="1602">
        <f>'Market Data'!C49/('Market Data'!E49+'Market Data'!C49)</f>
        <v>0.23038147668861172</v>
      </c>
      <c r="C5" s="1603"/>
      <c r="D5" s="1603"/>
      <c r="E5" s="1603"/>
      <c r="F5" s="1603"/>
      <c r="G5" s="1604"/>
      <c r="H5" s="1602">
        <f>'Market Data'!M49/('Market Data'!M49+'Market Data'!O49)</f>
        <v>0.61452169476443286</v>
      </c>
      <c r="I5" s="1603"/>
      <c r="J5" s="1603"/>
      <c r="K5" s="1603"/>
      <c r="L5" s="1603"/>
      <c r="M5" s="1604"/>
      <c r="N5" s="1602">
        <f>'Market Data'!W49/('Market Data'!W49+'Market Data'!Y49)</f>
        <v>0.39932829612730575</v>
      </c>
      <c r="O5" s="1603"/>
      <c r="P5" s="1603"/>
      <c r="Q5" s="1603"/>
      <c r="R5" s="1603"/>
      <c r="S5" s="1604"/>
    </row>
    <row r="6" spans="1:19" x14ac:dyDescent="0.25">
      <c r="A6" s="1021"/>
      <c r="B6" s="1599" t="s">
        <v>129</v>
      </c>
      <c r="C6" s="1600"/>
      <c r="D6" s="1600"/>
      <c r="E6" s="1600"/>
      <c r="F6" s="1600"/>
      <c r="G6" s="1601"/>
      <c r="H6" s="1599" t="s">
        <v>129</v>
      </c>
      <c r="I6" s="1600"/>
      <c r="J6" s="1600"/>
      <c r="K6" s="1600"/>
      <c r="L6" s="1600"/>
      <c r="M6" s="1601"/>
      <c r="N6" s="1599" t="s">
        <v>129</v>
      </c>
      <c r="O6" s="1600"/>
      <c r="P6" s="1600"/>
      <c r="Q6" s="1600"/>
      <c r="R6" s="1600"/>
      <c r="S6" s="1601"/>
    </row>
    <row r="7" spans="1:19" x14ac:dyDescent="0.25">
      <c r="A7" s="1021"/>
      <c r="B7" s="1022" t="s">
        <v>69</v>
      </c>
      <c r="C7" s="1023" t="s">
        <v>65</v>
      </c>
      <c r="D7" s="1023" t="s">
        <v>66</v>
      </c>
      <c r="E7" s="1023" t="s">
        <v>67</v>
      </c>
      <c r="F7" s="1023" t="s">
        <v>205</v>
      </c>
      <c r="G7" s="1024" t="s">
        <v>206</v>
      </c>
      <c r="H7" s="1022" t="s">
        <v>69</v>
      </c>
      <c r="I7" s="1023" t="s">
        <v>65</v>
      </c>
      <c r="J7" s="1023" t="s">
        <v>66</v>
      </c>
      <c r="K7" s="1023" t="s">
        <v>67</v>
      </c>
      <c r="L7" s="1023" t="s">
        <v>205</v>
      </c>
      <c r="M7" s="1024" t="s">
        <v>206</v>
      </c>
      <c r="N7" s="1022" t="s">
        <v>69</v>
      </c>
      <c r="O7" s="1023" t="s">
        <v>65</v>
      </c>
      <c r="P7" s="1023" t="s">
        <v>66</v>
      </c>
      <c r="Q7" s="1023" t="s">
        <v>67</v>
      </c>
      <c r="R7" s="1023" t="s">
        <v>205</v>
      </c>
      <c r="S7" s="1024" t="s">
        <v>206</v>
      </c>
    </row>
    <row r="8" spans="1:19" ht="30" x14ac:dyDescent="0.25">
      <c r="A8" s="1025"/>
      <c r="B8" s="1026" t="str">
        <f t="shared" ref="B8:G8" si="0">INDEX(TECH_OPT_DESC_Cls1,MATCH(B7,TECH_OPT_ROWS_Cls1,0))</f>
        <v>Conventional Diesel ICE</v>
      </c>
      <c r="C8" s="1027" t="str">
        <f t="shared" si="0"/>
        <v>Adv Conv</v>
      </c>
      <c r="D8" s="1027" t="str">
        <f t="shared" si="0"/>
        <v>HEV</v>
      </c>
      <c r="E8" s="1027" t="str">
        <f t="shared" si="0"/>
        <v>BEV</v>
      </c>
      <c r="F8" s="1027" t="str">
        <f t="shared" si="0"/>
        <v>FCEV</v>
      </c>
      <c r="G8" s="1028" t="str">
        <f t="shared" si="0"/>
        <v>PHEV</v>
      </c>
      <c r="H8" s="1026" t="str">
        <f t="shared" ref="H8:M8" si="1">INDEX(TECH_OPT_DESC_Cls2,MATCH(H7,TECH_OPT_ROWS_Cls2,0))</f>
        <v>Conventional Diesel ICE</v>
      </c>
      <c r="I8" s="1027" t="str">
        <f t="shared" si="1"/>
        <v>Adv Conv</v>
      </c>
      <c r="J8" s="1027" t="str">
        <f t="shared" si="1"/>
        <v>HEV</v>
      </c>
      <c r="K8" s="1027" t="str">
        <f t="shared" si="1"/>
        <v>BEV</v>
      </c>
      <c r="L8" s="1027" t="str">
        <f t="shared" si="1"/>
        <v>FCEV</v>
      </c>
      <c r="M8" s="1028" t="str">
        <f t="shared" si="1"/>
        <v>PHEV</v>
      </c>
      <c r="N8" s="1026" t="str">
        <f t="shared" ref="N8:S8" si="2">INDEX(TECH_OPT_DESC_Cls3,MATCH(N7,TECH_OPT_ROWS_Cls3,0))</f>
        <v>Conventional Diesel ICE</v>
      </c>
      <c r="O8" s="1027" t="str">
        <f t="shared" si="2"/>
        <v>Adv Conv</v>
      </c>
      <c r="P8" s="1027" t="str">
        <f t="shared" si="2"/>
        <v>HEV</v>
      </c>
      <c r="Q8" s="1027" t="str">
        <f t="shared" si="2"/>
        <v>BEV</v>
      </c>
      <c r="R8" s="1027" t="str">
        <f t="shared" si="2"/>
        <v>FCEV</v>
      </c>
      <c r="S8" s="1028" t="str">
        <f t="shared" si="2"/>
        <v>PHEV</v>
      </c>
    </row>
    <row r="9" spans="1:19" ht="15.75" thickBot="1" x14ac:dyDescent="0.3">
      <c r="A9" s="1029" t="s">
        <v>3</v>
      </c>
      <c r="B9" s="1030" t="str">
        <f t="shared" ref="B9:G9" si="3">INDEX(TECH_OPT_FUEL1_Cls1,MATCH(B7,TECH_OPT_ROWS_Cls1,0))</f>
        <v>Diesel</v>
      </c>
      <c r="C9" s="1031" t="str">
        <f t="shared" si="3"/>
        <v>Diesel</v>
      </c>
      <c r="D9" s="1031" t="str">
        <f t="shared" si="3"/>
        <v>Diesel</v>
      </c>
      <c r="E9" s="1031" t="str">
        <f t="shared" si="3"/>
        <v>Electricity</v>
      </c>
      <c r="F9" s="1031" t="str">
        <f t="shared" si="3"/>
        <v>Hydrogen</v>
      </c>
      <c r="G9" s="1032" t="str">
        <f t="shared" si="3"/>
        <v>Diesel</v>
      </c>
      <c r="H9" s="1033" t="str">
        <f t="shared" ref="H9:M9" si="4">INDEX(TECH_OPT_FUEL1_Cls2,MATCH(H7,TECH_OPT_ROWS_Cls2,0))</f>
        <v>Diesel</v>
      </c>
      <c r="I9" s="1031" t="str">
        <f t="shared" si="4"/>
        <v>Diesel</v>
      </c>
      <c r="J9" s="1031" t="str">
        <f t="shared" si="4"/>
        <v>Diesel</v>
      </c>
      <c r="K9" s="1031" t="str">
        <f t="shared" si="4"/>
        <v>Electricity</v>
      </c>
      <c r="L9" s="1031" t="str">
        <f t="shared" si="4"/>
        <v>Hydrogen</v>
      </c>
      <c r="M9" s="1032" t="str">
        <f t="shared" si="4"/>
        <v>Diesel</v>
      </c>
      <c r="N9" s="1030" t="str">
        <f t="shared" ref="N9:S9" si="5">INDEX(TECH_OPT_FUEL1_Cls3,MATCH(N7,TECH_OPT_ROWS_Cls3,0))</f>
        <v>Diesel</v>
      </c>
      <c r="O9" s="1031" t="str">
        <f t="shared" si="5"/>
        <v>Diesel</v>
      </c>
      <c r="P9" s="1031" t="str">
        <f t="shared" si="5"/>
        <v>Diesel</v>
      </c>
      <c r="Q9" s="1031" t="str">
        <f t="shared" si="5"/>
        <v>Electricity</v>
      </c>
      <c r="R9" s="1031" t="str">
        <f t="shared" si="5"/>
        <v>Hydrogen</v>
      </c>
      <c r="S9" s="1032" t="str">
        <f t="shared" si="5"/>
        <v>Diesel</v>
      </c>
    </row>
    <row r="10" spans="1:19" ht="15.75" thickTop="1" x14ac:dyDescent="0.25">
      <c r="A10" s="1034">
        <v>2007</v>
      </c>
      <c r="B10" s="1035">
        <f>IF('Mkt Pen Veh-Mi'!B9=0,$B$5,($B$5-SUMPRODUCT(C10:G10,'Mkt Pen Veh-Mi'!C9:G9))/'Mkt Pen Veh-Mi'!B9)</f>
        <v>0.23038147668861172</v>
      </c>
      <c r="C10" s="1036">
        <f t="shared" ref="C10:C53" si="6">INDEX(Cls1TechACentShr,MATCH($A10,$A$10:$A$53,0))</f>
        <v>0</v>
      </c>
      <c r="D10" s="1036">
        <f t="shared" ref="D10:D53" si="7">INDEX(Cls1TechBCentShr,MATCH($A10,$A$10:$A$53,0))</f>
        <v>0</v>
      </c>
      <c r="E10" s="1036">
        <f t="shared" ref="E10:E53" si="8">INDEX(Cls1TechCCentShr,MATCH($A10,$A$10:$A$53,0))</f>
        <v>0</v>
      </c>
      <c r="F10" s="1036">
        <f t="shared" ref="F10:F53" si="9">INDEX(Cls1TechDCentShr,MATCH($A10,$A$10:$A$53,0))</f>
        <v>0</v>
      </c>
      <c r="G10" s="1061">
        <f t="shared" ref="G10:G53" si="10">INDEX(Cls1TechECentShr,MATCH($A10,$A$10:$A$53,0))</f>
        <v>0</v>
      </c>
      <c r="H10" s="1035">
        <f>IF('Mkt Pen Veh-Mi'!H9=0,$H$5,($H$5-SUMPRODUCT(I10:M10,'Mkt Pen Veh-Mi'!I9:M9))/'Mkt Pen Veh-Mi'!H9)</f>
        <v>0.61452169476443286</v>
      </c>
      <c r="I10" s="1036">
        <f t="shared" ref="I10:I53" si="11">INDEX(Cls2TechACentShr,MATCH($A10,$A$10:$A$53,0))</f>
        <v>0</v>
      </c>
      <c r="J10" s="1036">
        <f t="shared" ref="J10:J53" si="12">INDEX(Cls2TechBCentShr,MATCH($A10,$A$10:$A$53,0))</f>
        <v>0</v>
      </c>
      <c r="K10" s="1036">
        <f t="shared" ref="K10:K53" si="13">INDEX(Cls2TechCCentShr,MATCH($A10,$A$10:$A$53,0))</f>
        <v>0</v>
      </c>
      <c r="L10" s="1036">
        <f t="shared" ref="L10:L53" si="14">INDEX(Cls2TechDCentShr,MATCH($A10,$A$10:$A$53,0))</f>
        <v>0</v>
      </c>
      <c r="M10" s="1062">
        <f t="shared" ref="M10:M53" si="15">INDEX(Cls2TechECentShr,MATCH($A10,$A$10:$A$53,0))</f>
        <v>0</v>
      </c>
      <c r="N10" s="1035">
        <f>IF('Mkt Pen Veh-Mi'!N9=0,$N$5,($N$5-SUMPRODUCT(O10:S10,'Mkt Pen Veh-Mi'!O9:S9))/'Mkt Pen Veh-Mi'!N9)</f>
        <v>0.39932829612730575</v>
      </c>
      <c r="O10" s="1036">
        <f t="shared" ref="O10:O53" si="16">INDEX(Cls3TechACentShr,MATCH($A10,$A$10:$A$53,0))</f>
        <v>0</v>
      </c>
      <c r="P10" s="1036">
        <f t="shared" ref="P10:P53" si="17">INDEX(Cls3TechBCentShr,MATCH($A10,$A$10:$A$53,0))</f>
        <v>0</v>
      </c>
      <c r="Q10" s="1036">
        <f t="shared" ref="Q10:Q53" si="18">INDEX(Cls3TechCCentShr,MATCH($A10,$A$10:$A$53,0))</f>
        <v>0</v>
      </c>
      <c r="R10" s="1036">
        <f t="shared" ref="R10:R53" si="19">INDEX(Cls3TechDCentShr,MATCH($A10,$A$10:$A$53,0))</f>
        <v>0</v>
      </c>
      <c r="S10" s="1061">
        <f t="shared" ref="S10:S53" si="20">INDEX(Cls3TechECentShr,MATCH($A10,$A$10:$A$53,0))</f>
        <v>0</v>
      </c>
    </row>
    <row r="11" spans="1:19" x14ac:dyDescent="0.25">
      <c r="A11" s="1034">
        <v>2008</v>
      </c>
      <c r="B11" s="1037">
        <f>IF('Mkt Pen Veh-Mi'!B10=0,$B$5,($B$5-SUMPRODUCT(C11:G11,'Mkt Pen Veh-Mi'!C10:G10))/'Mkt Pen Veh-Mi'!B10)</f>
        <v>0.23038147668861172</v>
      </c>
      <c r="C11" s="1038">
        <f t="shared" si="6"/>
        <v>0</v>
      </c>
      <c r="D11" s="1038">
        <f t="shared" si="7"/>
        <v>0</v>
      </c>
      <c r="E11" s="1038">
        <f t="shared" si="8"/>
        <v>0</v>
      </c>
      <c r="F11" s="1038">
        <f t="shared" si="9"/>
        <v>0</v>
      </c>
      <c r="G11" s="1039">
        <f t="shared" si="10"/>
        <v>0</v>
      </c>
      <c r="H11" s="1037">
        <f>IF('Mkt Pen Veh-Mi'!H10=0,$H$5,($H$5-SUMPRODUCT(I11:M11,'Mkt Pen Veh-Mi'!I10:M10))/'Mkt Pen Veh-Mi'!H10)</f>
        <v>0.61452169476443286</v>
      </c>
      <c r="I11" s="1038">
        <f t="shared" si="11"/>
        <v>0</v>
      </c>
      <c r="J11" s="1038">
        <f t="shared" si="12"/>
        <v>0</v>
      </c>
      <c r="K11" s="1038">
        <f t="shared" si="13"/>
        <v>0</v>
      </c>
      <c r="L11" s="1038">
        <f t="shared" si="14"/>
        <v>0</v>
      </c>
      <c r="M11" s="1039">
        <f t="shared" si="15"/>
        <v>0</v>
      </c>
      <c r="N11" s="1037">
        <f>IF('Mkt Pen Veh-Mi'!N10=0,$N$5,($N$5-SUMPRODUCT(O11:S11,'Mkt Pen Veh-Mi'!O10:S10))/'Mkt Pen Veh-Mi'!N10)</f>
        <v>0.39932829612730575</v>
      </c>
      <c r="O11" s="1038">
        <f t="shared" si="16"/>
        <v>0</v>
      </c>
      <c r="P11" s="1038">
        <f t="shared" si="17"/>
        <v>0</v>
      </c>
      <c r="Q11" s="1038">
        <f t="shared" si="18"/>
        <v>0</v>
      </c>
      <c r="R11" s="1038">
        <f t="shared" si="19"/>
        <v>0</v>
      </c>
      <c r="S11" s="1039">
        <f t="shared" si="20"/>
        <v>0</v>
      </c>
    </row>
    <row r="12" spans="1:19" x14ac:dyDescent="0.25">
      <c r="A12" s="1034">
        <v>2009</v>
      </c>
      <c r="B12" s="1037">
        <f>IF('Mkt Pen Veh-Mi'!B11=0,$B$5,($B$5-SUMPRODUCT(C12:G12,'Mkt Pen Veh-Mi'!C11:G11))/'Mkt Pen Veh-Mi'!B11)</f>
        <v>0.23038147668861172</v>
      </c>
      <c r="C12" s="1038">
        <f t="shared" si="6"/>
        <v>0</v>
      </c>
      <c r="D12" s="1038">
        <f t="shared" si="7"/>
        <v>0</v>
      </c>
      <c r="E12" s="1038">
        <f t="shared" si="8"/>
        <v>0</v>
      </c>
      <c r="F12" s="1038">
        <f t="shared" si="9"/>
        <v>0</v>
      </c>
      <c r="G12" s="1039">
        <f t="shared" si="10"/>
        <v>0</v>
      </c>
      <c r="H12" s="1037">
        <f>IF('Mkt Pen Veh-Mi'!H11=0,$H$5,($H$5-SUMPRODUCT(I12:M12,'Mkt Pen Veh-Mi'!I11:M11))/'Mkt Pen Veh-Mi'!H11)</f>
        <v>0.61452169476443286</v>
      </c>
      <c r="I12" s="1038">
        <f t="shared" si="11"/>
        <v>0</v>
      </c>
      <c r="J12" s="1038">
        <f t="shared" si="12"/>
        <v>0</v>
      </c>
      <c r="K12" s="1038">
        <f t="shared" si="13"/>
        <v>0</v>
      </c>
      <c r="L12" s="1038">
        <f t="shared" si="14"/>
        <v>0</v>
      </c>
      <c r="M12" s="1039">
        <f t="shared" si="15"/>
        <v>0</v>
      </c>
      <c r="N12" s="1037">
        <f>IF('Mkt Pen Veh-Mi'!N11=0,$N$5,($N$5-SUMPRODUCT(O12:S12,'Mkt Pen Veh-Mi'!O11:S11))/'Mkt Pen Veh-Mi'!N11)</f>
        <v>0.39932829612730575</v>
      </c>
      <c r="O12" s="1038">
        <f t="shared" si="16"/>
        <v>0</v>
      </c>
      <c r="P12" s="1038">
        <f t="shared" si="17"/>
        <v>0</v>
      </c>
      <c r="Q12" s="1038">
        <f t="shared" si="18"/>
        <v>0</v>
      </c>
      <c r="R12" s="1038">
        <f t="shared" si="19"/>
        <v>0</v>
      </c>
      <c r="S12" s="1039">
        <f t="shared" si="20"/>
        <v>0</v>
      </c>
    </row>
    <row r="13" spans="1:19" x14ac:dyDescent="0.25">
      <c r="A13" s="1040">
        <v>2010</v>
      </c>
      <c r="B13" s="1041">
        <f>IF('Mkt Pen Veh-Mi'!B12=0,$B$5,($B$5-SUMPRODUCT(C13:G13,'Mkt Pen Veh-Mi'!C12:G12))/'Mkt Pen Veh-Mi'!B12)</f>
        <v>0.23038147668861172</v>
      </c>
      <c r="C13" s="1042">
        <f t="shared" si="6"/>
        <v>0</v>
      </c>
      <c r="D13" s="1042">
        <f t="shared" si="7"/>
        <v>0</v>
      </c>
      <c r="E13" s="1042">
        <f t="shared" si="8"/>
        <v>0</v>
      </c>
      <c r="F13" s="1042">
        <f t="shared" si="9"/>
        <v>0</v>
      </c>
      <c r="G13" s="1043">
        <f t="shared" si="10"/>
        <v>0</v>
      </c>
      <c r="H13" s="1041">
        <f>IF('Mkt Pen Veh-Mi'!H12=0,$H$5,($H$5-SUMPRODUCT(I13:M13,'Mkt Pen Veh-Mi'!I12:M12))/'Mkt Pen Veh-Mi'!H12)</f>
        <v>0.61452169476443286</v>
      </c>
      <c r="I13" s="1042">
        <f t="shared" si="11"/>
        <v>0</v>
      </c>
      <c r="J13" s="1042">
        <f t="shared" si="12"/>
        <v>0</v>
      </c>
      <c r="K13" s="1042">
        <f t="shared" si="13"/>
        <v>0</v>
      </c>
      <c r="L13" s="1042">
        <f t="shared" si="14"/>
        <v>0</v>
      </c>
      <c r="M13" s="1043">
        <f t="shared" si="15"/>
        <v>0</v>
      </c>
      <c r="N13" s="1041">
        <f>IF('Mkt Pen Veh-Mi'!N12=0,$N$5,($N$5-SUMPRODUCT(O13:S13,'Mkt Pen Veh-Mi'!O12:S12))/'Mkt Pen Veh-Mi'!N12)</f>
        <v>0.39932829612730575</v>
      </c>
      <c r="O13" s="1042">
        <f t="shared" si="16"/>
        <v>0</v>
      </c>
      <c r="P13" s="1042">
        <f t="shared" si="17"/>
        <v>0</v>
      </c>
      <c r="Q13" s="1042">
        <f t="shared" si="18"/>
        <v>0</v>
      </c>
      <c r="R13" s="1042">
        <f t="shared" si="19"/>
        <v>0</v>
      </c>
      <c r="S13" s="1043">
        <f t="shared" si="20"/>
        <v>0</v>
      </c>
    </row>
    <row r="14" spans="1:19" x14ac:dyDescent="0.25">
      <c r="A14" s="1034">
        <v>2011</v>
      </c>
      <c r="B14" s="1044">
        <f>IF('Mkt Pen Veh-Mi'!B13=0,$B$5,($B$5-SUMPRODUCT(C14:G14,'Mkt Pen Veh-Mi'!C13:G13))/'Mkt Pen Veh-Mi'!B13)</f>
        <v>0.23038147668861172</v>
      </c>
      <c r="C14" s="1045">
        <f t="shared" si="6"/>
        <v>0</v>
      </c>
      <c r="D14" s="1045">
        <f t="shared" si="7"/>
        <v>0</v>
      </c>
      <c r="E14" s="1045">
        <f t="shared" si="8"/>
        <v>0</v>
      </c>
      <c r="F14" s="1045">
        <f t="shared" si="9"/>
        <v>0</v>
      </c>
      <c r="G14" s="1046">
        <f t="shared" si="10"/>
        <v>0</v>
      </c>
      <c r="H14" s="1044">
        <f>IF('Mkt Pen Veh-Mi'!H13=0,$H$5,($H$5-SUMPRODUCT(I14:M14,'Mkt Pen Veh-Mi'!I13:M13))/'Mkt Pen Veh-Mi'!H13)</f>
        <v>0.61452169476443286</v>
      </c>
      <c r="I14" s="1045">
        <f t="shared" si="11"/>
        <v>0</v>
      </c>
      <c r="J14" s="1045">
        <f t="shared" si="12"/>
        <v>0</v>
      </c>
      <c r="K14" s="1045">
        <f t="shared" si="13"/>
        <v>0</v>
      </c>
      <c r="L14" s="1045">
        <f t="shared" si="14"/>
        <v>0</v>
      </c>
      <c r="M14" s="1046">
        <f t="shared" si="15"/>
        <v>0</v>
      </c>
      <c r="N14" s="1044">
        <f>IF('Mkt Pen Veh-Mi'!N13=0,$N$5,($N$5-SUMPRODUCT(O14:S14,'Mkt Pen Veh-Mi'!O13:S13))/'Mkt Pen Veh-Mi'!N13)</f>
        <v>0.39932829612730575</v>
      </c>
      <c r="O14" s="1045">
        <f t="shared" si="16"/>
        <v>0</v>
      </c>
      <c r="P14" s="1045">
        <f t="shared" si="17"/>
        <v>0</v>
      </c>
      <c r="Q14" s="1045">
        <f t="shared" si="18"/>
        <v>0</v>
      </c>
      <c r="R14" s="1045">
        <f t="shared" si="19"/>
        <v>0</v>
      </c>
      <c r="S14" s="1046">
        <f t="shared" si="20"/>
        <v>0</v>
      </c>
    </row>
    <row r="15" spans="1:19" x14ac:dyDescent="0.25">
      <c r="A15" s="1034">
        <v>2012</v>
      </c>
      <c r="B15" s="1037">
        <f>IF('Mkt Pen Veh-Mi'!B14=0,$B$5,($B$5-SUMPRODUCT(C15:G15,'Mkt Pen Veh-Mi'!C14:G14))/'Mkt Pen Veh-Mi'!B14)</f>
        <v>0.23038147668861172</v>
      </c>
      <c r="C15" s="1038">
        <f t="shared" si="6"/>
        <v>0</v>
      </c>
      <c r="D15" s="1038">
        <f t="shared" si="7"/>
        <v>0</v>
      </c>
      <c r="E15" s="1038">
        <f t="shared" si="8"/>
        <v>0</v>
      </c>
      <c r="F15" s="1038">
        <f t="shared" si="9"/>
        <v>0</v>
      </c>
      <c r="G15" s="1039">
        <f t="shared" si="10"/>
        <v>0</v>
      </c>
      <c r="H15" s="1037">
        <f>IF('Mkt Pen Veh-Mi'!H14=0,$H$5,($H$5-SUMPRODUCT(I15:M15,'Mkt Pen Veh-Mi'!I14:M14))/'Mkt Pen Veh-Mi'!H14)</f>
        <v>0.61452169476443286</v>
      </c>
      <c r="I15" s="1038">
        <f t="shared" si="11"/>
        <v>0</v>
      </c>
      <c r="J15" s="1038">
        <f t="shared" si="12"/>
        <v>0</v>
      </c>
      <c r="K15" s="1038">
        <f t="shared" si="13"/>
        <v>0</v>
      </c>
      <c r="L15" s="1038">
        <f t="shared" si="14"/>
        <v>0</v>
      </c>
      <c r="M15" s="1039">
        <f t="shared" si="15"/>
        <v>0</v>
      </c>
      <c r="N15" s="1037">
        <f>IF('Mkt Pen Veh-Mi'!N14=0,$N$5,($N$5-SUMPRODUCT(O15:S15,'Mkt Pen Veh-Mi'!O14:S14))/'Mkt Pen Veh-Mi'!N14)</f>
        <v>0.39932829612730575</v>
      </c>
      <c r="O15" s="1038">
        <f t="shared" si="16"/>
        <v>0</v>
      </c>
      <c r="P15" s="1038">
        <f t="shared" si="17"/>
        <v>0</v>
      </c>
      <c r="Q15" s="1038">
        <f t="shared" si="18"/>
        <v>0</v>
      </c>
      <c r="R15" s="1038">
        <f t="shared" si="19"/>
        <v>0</v>
      </c>
      <c r="S15" s="1039">
        <f t="shared" si="20"/>
        <v>0</v>
      </c>
    </row>
    <row r="16" spans="1:19" x14ac:dyDescent="0.25">
      <c r="A16" s="1034">
        <v>2013</v>
      </c>
      <c r="B16" s="1037">
        <f>IF('Mkt Pen Veh-Mi'!B15=0,$B$5,($B$5-SUMPRODUCT(C16:G16,'Mkt Pen Veh-Mi'!C15:G15))/'Mkt Pen Veh-Mi'!B15)</f>
        <v>0.23038147668861172</v>
      </c>
      <c r="C16" s="1038">
        <f t="shared" si="6"/>
        <v>0</v>
      </c>
      <c r="D16" s="1038">
        <f t="shared" si="7"/>
        <v>0</v>
      </c>
      <c r="E16" s="1038">
        <f t="shared" si="8"/>
        <v>0</v>
      </c>
      <c r="F16" s="1038">
        <f t="shared" si="9"/>
        <v>0</v>
      </c>
      <c r="G16" s="1039">
        <f t="shared" si="10"/>
        <v>0</v>
      </c>
      <c r="H16" s="1037">
        <f>IF('Mkt Pen Veh-Mi'!H15=0,$H$5,($H$5-SUMPRODUCT(I16:M16,'Mkt Pen Veh-Mi'!I15:M15))/'Mkt Pen Veh-Mi'!H15)</f>
        <v>0.61452169476443286</v>
      </c>
      <c r="I16" s="1038">
        <f t="shared" si="11"/>
        <v>0</v>
      </c>
      <c r="J16" s="1038">
        <f t="shared" si="12"/>
        <v>0</v>
      </c>
      <c r="K16" s="1038">
        <f t="shared" si="13"/>
        <v>0</v>
      </c>
      <c r="L16" s="1038">
        <f t="shared" si="14"/>
        <v>0</v>
      </c>
      <c r="M16" s="1039">
        <f t="shared" si="15"/>
        <v>0</v>
      </c>
      <c r="N16" s="1037">
        <f>IF('Mkt Pen Veh-Mi'!N15=0,$N$5,($N$5-SUMPRODUCT(O16:S16,'Mkt Pen Veh-Mi'!O15:S15))/'Mkt Pen Veh-Mi'!N15)</f>
        <v>0.39932829612730575</v>
      </c>
      <c r="O16" s="1038">
        <f t="shared" si="16"/>
        <v>0</v>
      </c>
      <c r="P16" s="1038">
        <f t="shared" si="17"/>
        <v>0</v>
      </c>
      <c r="Q16" s="1038">
        <f t="shared" si="18"/>
        <v>0</v>
      </c>
      <c r="R16" s="1038">
        <f t="shared" si="19"/>
        <v>0</v>
      </c>
      <c r="S16" s="1039">
        <f t="shared" si="20"/>
        <v>0</v>
      </c>
    </row>
    <row r="17" spans="1:19" x14ac:dyDescent="0.25">
      <c r="A17" s="1034">
        <v>2014</v>
      </c>
      <c r="B17" s="1037">
        <f>IF('Mkt Pen Veh-Mi'!B16=0,$B$5,($B$5-SUMPRODUCT(C17:G17,'Mkt Pen Veh-Mi'!C16:G16))/'Mkt Pen Veh-Mi'!B16)</f>
        <v>0.23038147668861172</v>
      </c>
      <c r="C17" s="1038">
        <f t="shared" si="6"/>
        <v>0</v>
      </c>
      <c r="D17" s="1038">
        <f t="shared" si="7"/>
        <v>0</v>
      </c>
      <c r="E17" s="1038">
        <f t="shared" si="8"/>
        <v>0</v>
      </c>
      <c r="F17" s="1038">
        <f t="shared" si="9"/>
        <v>0</v>
      </c>
      <c r="G17" s="1039">
        <f t="shared" si="10"/>
        <v>0</v>
      </c>
      <c r="H17" s="1037">
        <f>IF('Mkt Pen Veh-Mi'!H16=0,$H$5,($H$5-SUMPRODUCT(I17:M17,'Mkt Pen Veh-Mi'!I16:M16))/'Mkt Pen Veh-Mi'!H16)</f>
        <v>0.61452169476443286</v>
      </c>
      <c r="I17" s="1038">
        <f t="shared" si="11"/>
        <v>0</v>
      </c>
      <c r="J17" s="1038">
        <f t="shared" si="12"/>
        <v>0</v>
      </c>
      <c r="K17" s="1038">
        <f t="shared" si="13"/>
        <v>0</v>
      </c>
      <c r="L17" s="1038">
        <f t="shared" si="14"/>
        <v>0</v>
      </c>
      <c r="M17" s="1039">
        <f t="shared" si="15"/>
        <v>0</v>
      </c>
      <c r="N17" s="1037">
        <f>IF('Mkt Pen Veh-Mi'!N16=0,$N$5,($N$5-SUMPRODUCT(O17:S17,'Mkt Pen Veh-Mi'!O16:S16))/'Mkt Pen Veh-Mi'!N16)</f>
        <v>0.39932829612730575</v>
      </c>
      <c r="O17" s="1038">
        <f t="shared" si="16"/>
        <v>0</v>
      </c>
      <c r="P17" s="1038">
        <f t="shared" si="17"/>
        <v>0</v>
      </c>
      <c r="Q17" s="1038">
        <f t="shared" si="18"/>
        <v>0</v>
      </c>
      <c r="R17" s="1038">
        <f t="shared" si="19"/>
        <v>0</v>
      </c>
      <c r="S17" s="1039">
        <f t="shared" si="20"/>
        <v>0</v>
      </c>
    </row>
    <row r="18" spans="1:19" x14ac:dyDescent="0.25">
      <c r="A18" s="1040">
        <v>2015</v>
      </c>
      <c r="B18" s="1041">
        <f>IF('Mkt Pen Veh-Mi'!B17=0,$B$5,($B$5-SUMPRODUCT(C18:G18,'Mkt Pen Veh-Mi'!C17:G17))/'Mkt Pen Veh-Mi'!B17)</f>
        <v>0.23038147668861172</v>
      </c>
      <c r="C18" s="1042">
        <f t="shared" si="6"/>
        <v>0</v>
      </c>
      <c r="D18" s="1042">
        <f t="shared" si="7"/>
        <v>0</v>
      </c>
      <c r="E18" s="1042">
        <f t="shared" si="8"/>
        <v>0</v>
      </c>
      <c r="F18" s="1042">
        <f t="shared" si="9"/>
        <v>0</v>
      </c>
      <c r="G18" s="1043">
        <f t="shared" si="10"/>
        <v>0</v>
      </c>
      <c r="H18" s="1041">
        <f>IF('Mkt Pen Veh-Mi'!H17=0,$H$5,($H$5-SUMPRODUCT(I18:M18,'Mkt Pen Veh-Mi'!I17:M17))/'Mkt Pen Veh-Mi'!H17)</f>
        <v>0.61452169476443286</v>
      </c>
      <c r="I18" s="1042">
        <f t="shared" si="11"/>
        <v>0</v>
      </c>
      <c r="J18" s="1042">
        <f t="shared" si="12"/>
        <v>0</v>
      </c>
      <c r="K18" s="1042">
        <f t="shared" si="13"/>
        <v>0</v>
      </c>
      <c r="L18" s="1042">
        <f t="shared" si="14"/>
        <v>0</v>
      </c>
      <c r="M18" s="1043">
        <f t="shared" si="15"/>
        <v>0</v>
      </c>
      <c r="N18" s="1041">
        <f>IF('Mkt Pen Veh-Mi'!N17=0,$N$5,($N$5-SUMPRODUCT(O18:S18,'Mkt Pen Veh-Mi'!O17:S17))/'Mkt Pen Veh-Mi'!N17)</f>
        <v>0.39932829612730575</v>
      </c>
      <c r="O18" s="1042">
        <f t="shared" si="16"/>
        <v>0</v>
      </c>
      <c r="P18" s="1042">
        <f t="shared" si="17"/>
        <v>0</v>
      </c>
      <c r="Q18" s="1042">
        <f t="shared" si="18"/>
        <v>0</v>
      </c>
      <c r="R18" s="1042">
        <f t="shared" si="19"/>
        <v>0</v>
      </c>
      <c r="S18" s="1043">
        <f t="shared" si="20"/>
        <v>0</v>
      </c>
    </row>
    <row r="19" spans="1:19" x14ac:dyDescent="0.25">
      <c r="A19" s="1034">
        <v>2016</v>
      </c>
      <c r="B19" s="1044">
        <f>IF('Mkt Pen Veh-Mi'!B18=0,$B$5,($B$5-SUMPRODUCT(C19:G19,'Mkt Pen Veh-Mi'!C18:G18))/'Mkt Pen Veh-Mi'!B18)</f>
        <v>0.23038147668861172</v>
      </c>
      <c r="C19" s="1045">
        <f t="shared" si="6"/>
        <v>0</v>
      </c>
      <c r="D19" s="1045">
        <f t="shared" si="7"/>
        <v>0</v>
      </c>
      <c r="E19" s="1045">
        <f t="shared" si="8"/>
        <v>0</v>
      </c>
      <c r="F19" s="1045">
        <f t="shared" si="9"/>
        <v>0</v>
      </c>
      <c r="G19" s="1046">
        <f t="shared" si="10"/>
        <v>0</v>
      </c>
      <c r="H19" s="1044">
        <f>IF('Mkt Pen Veh-Mi'!H18=0,$H$5,($H$5-SUMPRODUCT(I19:M19,'Mkt Pen Veh-Mi'!I18:M18))/'Mkt Pen Veh-Mi'!H18)</f>
        <v>0.61452169476443286</v>
      </c>
      <c r="I19" s="1045">
        <f t="shared" si="11"/>
        <v>0</v>
      </c>
      <c r="J19" s="1045">
        <f t="shared" si="12"/>
        <v>0</v>
      </c>
      <c r="K19" s="1045">
        <f t="shared" si="13"/>
        <v>0</v>
      </c>
      <c r="L19" s="1045">
        <f t="shared" si="14"/>
        <v>0</v>
      </c>
      <c r="M19" s="1046">
        <f t="shared" si="15"/>
        <v>0</v>
      </c>
      <c r="N19" s="1044">
        <f>IF('Mkt Pen Veh-Mi'!N18=0,$N$5,($N$5-SUMPRODUCT(O19:S19,'Mkt Pen Veh-Mi'!O18:S18))/'Mkt Pen Veh-Mi'!N18)</f>
        <v>0.39932829612730575</v>
      </c>
      <c r="O19" s="1045">
        <f t="shared" si="16"/>
        <v>0</v>
      </c>
      <c r="P19" s="1045">
        <f t="shared" si="17"/>
        <v>0</v>
      </c>
      <c r="Q19" s="1045">
        <f t="shared" si="18"/>
        <v>0</v>
      </c>
      <c r="R19" s="1045">
        <f t="shared" si="19"/>
        <v>0</v>
      </c>
      <c r="S19" s="1046">
        <f t="shared" si="20"/>
        <v>0</v>
      </c>
    </row>
    <row r="20" spans="1:19" x14ac:dyDescent="0.25">
      <c r="A20" s="1034">
        <v>2017</v>
      </c>
      <c r="B20" s="1037">
        <f>IF('Mkt Pen Veh-Mi'!B19=0,$B$5,($B$5-SUMPRODUCT(C20:G20,'Mkt Pen Veh-Mi'!C19:G19))/'Mkt Pen Veh-Mi'!B19)</f>
        <v>0.23038147668861172</v>
      </c>
      <c r="C20" s="1038">
        <f t="shared" si="6"/>
        <v>0</v>
      </c>
      <c r="D20" s="1038">
        <f t="shared" si="7"/>
        <v>0</v>
      </c>
      <c r="E20" s="1038">
        <f t="shared" si="8"/>
        <v>0</v>
      </c>
      <c r="F20" s="1038">
        <f t="shared" si="9"/>
        <v>0</v>
      </c>
      <c r="G20" s="1039">
        <f t="shared" si="10"/>
        <v>0</v>
      </c>
      <c r="H20" s="1037">
        <f>IF('Mkt Pen Veh-Mi'!H19=0,$H$5,($H$5-SUMPRODUCT(I20:M20,'Mkt Pen Veh-Mi'!I19:M19))/'Mkt Pen Veh-Mi'!H19)</f>
        <v>0.61452169476443286</v>
      </c>
      <c r="I20" s="1038">
        <f t="shared" si="11"/>
        <v>0</v>
      </c>
      <c r="J20" s="1038">
        <f t="shared" si="12"/>
        <v>0</v>
      </c>
      <c r="K20" s="1038">
        <f t="shared" si="13"/>
        <v>0</v>
      </c>
      <c r="L20" s="1038">
        <f t="shared" si="14"/>
        <v>0</v>
      </c>
      <c r="M20" s="1039">
        <f t="shared" si="15"/>
        <v>0</v>
      </c>
      <c r="N20" s="1037">
        <f>IF('Mkt Pen Veh-Mi'!N19=0,$N$5,($N$5-SUMPRODUCT(O20:S20,'Mkt Pen Veh-Mi'!O19:S19))/'Mkt Pen Veh-Mi'!N19)</f>
        <v>0.39932829612730575</v>
      </c>
      <c r="O20" s="1038">
        <f t="shared" si="16"/>
        <v>0</v>
      </c>
      <c r="P20" s="1038">
        <f t="shared" si="17"/>
        <v>0</v>
      </c>
      <c r="Q20" s="1038">
        <f t="shared" si="18"/>
        <v>0</v>
      </c>
      <c r="R20" s="1038">
        <f t="shared" si="19"/>
        <v>0</v>
      </c>
      <c r="S20" s="1039">
        <f t="shared" si="20"/>
        <v>0</v>
      </c>
    </row>
    <row r="21" spans="1:19" x14ac:dyDescent="0.25">
      <c r="A21" s="1034">
        <v>2018</v>
      </c>
      <c r="B21" s="1037">
        <f>IF('Mkt Pen Veh-Mi'!B20=0,$B$5,($B$5-SUMPRODUCT(C21:G21,'Mkt Pen Veh-Mi'!C20:G20))/'Mkt Pen Veh-Mi'!B20)</f>
        <v>0.23038147668861172</v>
      </c>
      <c r="C21" s="1038">
        <f t="shared" si="6"/>
        <v>0</v>
      </c>
      <c r="D21" s="1038">
        <f t="shared" si="7"/>
        <v>0</v>
      </c>
      <c r="E21" s="1038">
        <f t="shared" si="8"/>
        <v>0</v>
      </c>
      <c r="F21" s="1038">
        <f t="shared" si="9"/>
        <v>0</v>
      </c>
      <c r="G21" s="1039">
        <f t="shared" si="10"/>
        <v>0</v>
      </c>
      <c r="H21" s="1037">
        <f>IF('Mkt Pen Veh-Mi'!H20=0,$H$5,($H$5-SUMPRODUCT(I21:M21,'Mkt Pen Veh-Mi'!I20:M20))/'Mkt Pen Veh-Mi'!H20)</f>
        <v>0.61452169476443286</v>
      </c>
      <c r="I21" s="1038">
        <f t="shared" si="11"/>
        <v>0</v>
      </c>
      <c r="J21" s="1038">
        <f t="shared" si="12"/>
        <v>0</v>
      </c>
      <c r="K21" s="1038">
        <f t="shared" si="13"/>
        <v>0</v>
      </c>
      <c r="L21" s="1038">
        <f t="shared" si="14"/>
        <v>0</v>
      </c>
      <c r="M21" s="1039">
        <f t="shared" si="15"/>
        <v>0</v>
      </c>
      <c r="N21" s="1037">
        <f>IF('Mkt Pen Veh-Mi'!N20=0,$N$5,($N$5-SUMPRODUCT(O21:S21,'Mkt Pen Veh-Mi'!O20:S20))/'Mkt Pen Veh-Mi'!N20)</f>
        <v>0.39932829612730575</v>
      </c>
      <c r="O21" s="1038">
        <f t="shared" si="16"/>
        <v>0</v>
      </c>
      <c r="P21" s="1038">
        <f t="shared" si="17"/>
        <v>0</v>
      </c>
      <c r="Q21" s="1038">
        <f t="shared" si="18"/>
        <v>0</v>
      </c>
      <c r="R21" s="1038">
        <f t="shared" si="19"/>
        <v>0</v>
      </c>
      <c r="S21" s="1039">
        <f t="shared" si="20"/>
        <v>0</v>
      </c>
    </row>
    <row r="22" spans="1:19" x14ac:dyDescent="0.25">
      <c r="A22" s="1034">
        <v>2019</v>
      </c>
      <c r="B22" s="1037">
        <f>IF('Mkt Pen Veh-Mi'!B21=0,$B$5,($B$5-SUMPRODUCT(C22:G22,'Mkt Pen Veh-Mi'!C21:G21))/'Mkt Pen Veh-Mi'!B21)</f>
        <v>0.23038147668861172</v>
      </c>
      <c r="C22" s="1038">
        <f t="shared" si="6"/>
        <v>0</v>
      </c>
      <c r="D22" s="1038">
        <f t="shared" si="7"/>
        <v>0</v>
      </c>
      <c r="E22" s="1038">
        <f t="shared" si="8"/>
        <v>0</v>
      </c>
      <c r="F22" s="1038">
        <f t="shared" si="9"/>
        <v>0</v>
      </c>
      <c r="G22" s="1039">
        <f t="shared" si="10"/>
        <v>0</v>
      </c>
      <c r="H22" s="1037">
        <f>IF('Mkt Pen Veh-Mi'!H21=0,$H$5,($H$5-SUMPRODUCT(I22:M22,'Mkt Pen Veh-Mi'!I21:M21))/'Mkt Pen Veh-Mi'!H21)</f>
        <v>0.61452169476443286</v>
      </c>
      <c r="I22" s="1038">
        <f t="shared" si="11"/>
        <v>0</v>
      </c>
      <c r="J22" s="1038">
        <f t="shared" si="12"/>
        <v>0</v>
      </c>
      <c r="K22" s="1038">
        <f t="shared" si="13"/>
        <v>0</v>
      </c>
      <c r="L22" s="1038">
        <f t="shared" si="14"/>
        <v>0</v>
      </c>
      <c r="M22" s="1039">
        <f t="shared" si="15"/>
        <v>0</v>
      </c>
      <c r="N22" s="1037">
        <f>IF('Mkt Pen Veh-Mi'!N21=0,$N$5,($N$5-SUMPRODUCT(O22:S22,'Mkt Pen Veh-Mi'!O21:S21))/'Mkt Pen Veh-Mi'!N21)</f>
        <v>0.39932829612730575</v>
      </c>
      <c r="O22" s="1038">
        <f t="shared" si="16"/>
        <v>0</v>
      </c>
      <c r="P22" s="1038">
        <f t="shared" si="17"/>
        <v>0</v>
      </c>
      <c r="Q22" s="1038">
        <f t="shared" si="18"/>
        <v>0</v>
      </c>
      <c r="R22" s="1038">
        <f t="shared" si="19"/>
        <v>0</v>
      </c>
      <c r="S22" s="1039">
        <f t="shared" si="20"/>
        <v>0</v>
      </c>
    </row>
    <row r="23" spans="1:19" x14ac:dyDescent="0.25">
      <c r="A23" s="1040">
        <v>2020</v>
      </c>
      <c r="B23" s="1041">
        <f>IF('Mkt Pen Veh-Mi'!B22=0,$B$5,($B$5-SUMPRODUCT(C23:G23,'Mkt Pen Veh-Mi'!C22:G22))/'Mkt Pen Veh-Mi'!B22)</f>
        <v>0.23038147668861172</v>
      </c>
      <c r="C23" s="1042">
        <f t="shared" si="6"/>
        <v>0</v>
      </c>
      <c r="D23" s="1042">
        <f t="shared" si="7"/>
        <v>0</v>
      </c>
      <c r="E23" s="1042">
        <f t="shared" si="8"/>
        <v>0</v>
      </c>
      <c r="F23" s="1042">
        <f t="shared" si="9"/>
        <v>0</v>
      </c>
      <c r="G23" s="1043">
        <f t="shared" si="10"/>
        <v>0</v>
      </c>
      <c r="H23" s="1041">
        <f>IF('Mkt Pen Veh-Mi'!H22=0,$H$5,($H$5-SUMPRODUCT(I23:M23,'Mkt Pen Veh-Mi'!I22:M22))/'Mkt Pen Veh-Mi'!H22)</f>
        <v>0.61452169476443286</v>
      </c>
      <c r="I23" s="1042">
        <f t="shared" si="11"/>
        <v>0</v>
      </c>
      <c r="J23" s="1042">
        <f t="shared" si="12"/>
        <v>0</v>
      </c>
      <c r="K23" s="1042">
        <f t="shared" si="13"/>
        <v>0</v>
      </c>
      <c r="L23" s="1042">
        <f t="shared" si="14"/>
        <v>0</v>
      </c>
      <c r="M23" s="1043">
        <f t="shared" si="15"/>
        <v>0</v>
      </c>
      <c r="N23" s="1041">
        <f>IF('Mkt Pen Veh-Mi'!N22=0,$N$5,($N$5-SUMPRODUCT(O23:S23,'Mkt Pen Veh-Mi'!O22:S22))/'Mkt Pen Veh-Mi'!N22)</f>
        <v>0.39932829612730575</v>
      </c>
      <c r="O23" s="1042">
        <f t="shared" si="16"/>
        <v>0</v>
      </c>
      <c r="P23" s="1042">
        <f t="shared" si="17"/>
        <v>0</v>
      </c>
      <c r="Q23" s="1042">
        <f t="shared" si="18"/>
        <v>0</v>
      </c>
      <c r="R23" s="1042">
        <f t="shared" si="19"/>
        <v>0</v>
      </c>
      <c r="S23" s="1043">
        <f t="shared" si="20"/>
        <v>0</v>
      </c>
    </row>
    <row r="24" spans="1:19" x14ac:dyDescent="0.25">
      <c r="A24" s="1034">
        <v>2021</v>
      </c>
      <c r="B24" s="1044">
        <f>IF('Mkt Pen Veh-Mi'!B23=0,$B$5,($B$5-SUMPRODUCT(C24:G24,'Mkt Pen Veh-Mi'!C23:G23))/'Mkt Pen Veh-Mi'!B23)</f>
        <v>0.23038147668861172</v>
      </c>
      <c r="C24" s="1045">
        <f t="shared" si="6"/>
        <v>0</v>
      </c>
      <c r="D24" s="1045">
        <f t="shared" si="7"/>
        <v>0</v>
      </c>
      <c r="E24" s="1045">
        <f t="shared" si="8"/>
        <v>0</v>
      </c>
      <c r="F24" s="1045">
        <f t="shared" si="9"/>
        <v>0</v>
      </c>
      <c r="G24" s="1046">
        <f t="shared" si="10"/>
        <v>0</v>
      </c>
      <c r="H24" s="1044">
        <f>IF('Mkt Pen Veh-Mi'!H23=0,$H$5,($H$5-SUMPRODUCT(I24:M24,'Mkt Pen Veh-Mi'!I23:M23))/'Mkt Pen Veh-Mi'!H23)</f>
        <v>0.61452169476443286</v>
      </c>
      <c r="I24" s="1045">
        <f t="shared" si="11"/>
        <v>0</v>
      </c>
      <c r="J24" s="1045">
        <f t="shared" si="12"/>
        <v>0</v>
      </c>
      <c r="K24" s="1045">
        <f t="shared" si="13"/>
        <v>0</v>
      </c>
      <c r="L24" s="1045">
        <f t="shared" si="14"/>
        <v>0</v>
      </c>
      <c r="M24" s="1046">
        <f t="shared" si="15"/>
        <v>0</v>
      </c>
      <c r="N24" s="1044">
        <f>IF('Mkt Pen Veh-Mi'!N23=0,$N$5,($N$5-SUMPRODUCT(O24:S24,'Mkt Pen Veh-Mi'!O23:S23))/'Mkt Pen Veh-Mi'!N23)</f>
        <v>0.39932829612730575</v>
      </c>
      <c r="O24" s="1045">
        <f t="shared" si="16"/>
        <v>0</v>
      </c>
      <c r="P24" s="1045">
        <f t="shared" si="17"/>
        <v>0</v>
      </c>
      <c r="Q24" s="1045">
        <f t="shared" si="18"/>
        <v>0</v>
      </c>
      <c r="R24" s="1045">
        <f t="shared" si="19"/>
        <v>0</v>
      </c>
      <c r="S24" s="1046">
        <f t="shared" si="20"/>
        <v>0</v>
      </c>
    </row>
    <row r="25" spans="1:19" x14ac:dyDescent="0.25">
      <c r="A25" s="1034">
        <v>2022</v>
      </c>
      <c r="B25" s="1037">
        <f>IF('Mkt Pen Veh-Mi'!B24=0,$B$5,($B$5-SUMPRODUCT(C25:G25,'Mkt Pen Veh-Mi'!C24:G24))/'Mkt Pen Veh-Mi'!B24)</f>
        <v>0.23038147668861172</v>
      </c>
      <c r="C25" s="1038">
        <f t="shared" si="6"/>
        <v>0</v>
      </c>
      <c r="D25" s="1038">
        <f t="shared" si="7"/>
        <v>0</v>
      </c>
      <c r="E25" s="1038">
        <f t="shared" si="8"/>
        <v>0</v>
      </c>
      <c r="F25" s="1038">
        <f t="shared" si="9"/>
        <v>0</v>
      </c>
      <c r="G25" s="1039">
        <f t="shared" si="10"/>
        <v>0</v>
      </c>
      <c r="H25" s="1037">
        <f>IF('Mkt Pen Veh-Mi'!H24=0,$H$5,($H$5-SUMPRODUCT(I25:M25,'Mkt Pen Veh-Mi'!I24:M24))/'Mkt Pen Veh-Mi'!H24)</f>
        <v>0.61452169476443286</v>
      </c>
      <c r="I25" s="1038">
        <f t="shared" si="11"/>
        <v>0</v>
      </c>
      <c r="J25" s="1038">
        <f t="shared" si="12"/>
        <v>0</v>
      </c>
      <c r="K25" s="1038">
        <f t="shared" si="13"/>
        <v>0</v>
      </c>
      <c r="L25" s="1038">
        <f t="shared" si="14"/>
        <v>0</v>
      </c>
      <c r="M25" s="1039">
        <f t="shared" si="15"/>
        <v>0</v>
      </c>
      <c r="N25" s="1037">
        <f>IF('Mkt Pen Veh-Mi'!N24=0,$N$5,($N$5-SUMPRODUCT(O25:S25,'Mkt Pen Veh-Mi'!O24:S24))/'Mkt Pen Veh-Mi'!N24)</f>
        <v>0.39932829612730575</v>
      </c>
      <c r="O25" s="1038">
        <f t="shared" si="16"/>
        <v>0</v>
      </c>
      <c r="P25" s="1038">
        <f t="shared" si="17"/>
        <v>0</v>
      </c>
      <c r="Q25" s="1038">
        <f t="shared" si="18"/>
        <v>0</v>
      </c>
      <c r="R25" s="1038">
        <f t="shared" si="19"/>
        <v>0</v>
      </c>
      <c r="S25" s="1039">
        <f t="shared" si="20"/>
        <v>0</v>
      </c>
    </row>
    <row r="26" spans="1:19" x14ac:dyDescent="0.25">
      <c r="A26" s="1034">
        <v>2023</v>
      </c>
      <c r="B26" s="1037">
        <f>IF('Mkt Pen Veh-Mi'!B25=0,$B$5,($B$5-SUMPRODUCT(C26:G26,'Mkt Pen Veh-Mi'!C25:G25))/'Mkt Pen Veh-Mi'!B25)</f>
        <v>0.23038147668861172</v>
      </c>
      <c r="C26" s="1038">
        <f t="shared" si="6"/>
        <v>0</v>
      </c>
      <c r="D26" s="1038">
        <f t="shared" si="7"/>
        <v>0</v>
      </c>
      <c r="E26" s="1038">
        <f t="shared" si="8"/>
        <v>0</v>
      </c>
      <c r="F26" s="1038">
        <f t="shared" si="9"/>
        <v>0</v>
      </c>
      <c r="G26" s="1039">
        <f t="shared" si="10"/>
        <v>0</v>
      </c>
      <c r="H26" s="1037">
        <f>IF('Mkt Pen Veh-Mi'!H25=0,$H$5,($H$5-SUMPRODUCT(I26:M26,'Mkt Pen Veh-Mi'!I25:M25))/'Mkt Pen Veh-Mi'!H25)</f>
        <v>0.61452169476443286</v>
      </c>
      <c r="I26" s="1038">
        <f t="shared" si="11"/>
        <v>0</v>
      </c>
      <c r="J26" s="1038">
        <f t="shared" si="12"/>
        <v>0</v>
      </c>
      <c r="K26" s="1038">
        <f t="shared" si="13"/>
        <v>0</v>
      </c>
      <c r="L26" s="1038">
        <f t="shared" si="14"/>
        <v>0</v>
      </c>
      <c r="M26" s="1039">
        <f t="shared" si="15"/>
        <v>0</v>
      </c>
      <c r="N26" s="1037">
        <f>IF('Mkt Pen Veh-Mi'!N25=0,$N$5,($N$5-SUMPRODUCT(O26:S26,'Mkt Pen Veh-Mi'!O25:S25))/'Mkt Pen Veh-Mi'!N25)</f>
        <v>0.39932829612730575</v>
      </c>
      <c r="O26" s="1038">
        <f t="shared" si="16"/>
        <v>0</v>
      </c>
      <c r="P26" s="1038">
        <f t="shared" si="17"/>
        <v>0</v>
      </c>
      <c r="Q26" s="1038">
        <f t="shared" si="18"/>
        <v>0</v>
      </c>
      <c r="R26" s="1038">
        <f t="shared" si="19"/>
        <v>0</v>
      </c>
      <c r="S26" s="1039">
        <f t="shared" si="20"/>
        <v>0</v>
      </c>
    </row>
    <row r="27" spans="1:19" x14ac:dyDescent="0.25">
      <c r="A27" s="1034">
        <v>2024</v>
      </c>
      <c r="B27" s="1037">
        <f>IF('Mkt Pen Veh-Mi'!B26=0,$B$5,($B$5-SUMPRODUCT(C27:G27,'Mkt Pen Veh-Mi'!C26:G26))/'Mkt Pen Veh-Mi'!B26)</f>
        <v>0.23038147668861172</v>
      </c>
      <c r="C27" s="1038">
        <f t="shared" si="6"/>
        <v>0</v>
      </c>
      <c r="D27" s="1038">
        <f t="shared" si="7"/>
        <v>0</v>
      </c>
      <c r="E27" s="1038">
        <f t="shared" si="8"/>
        <v>0</v>
      </c>
      <c r="F27" s="1038">
        <f t="shared" si="9"/>
        <v>0</v>
      </c>
      <c r="G27" s="1039">
        <f t="shared" si="10"/>
        <v>0</v>
      </c>
      <c r="H27" s="1037">
        <f>IF('Mkt Pen Veh-Mi'!H26=0,$H$5,($H$5-SUMPRODUCT(I27:M27,'Mkt Pen Veh-Mi'!I26:M26))/'Mkt Pen Veh-Mi'!H26)</f>
        <v>0.61452169476443286</v>
      </c>
      <c r="I27" s="1038">
        <f t="shared" si="11"/>
        <v>0</v>
      </c>
      <c r="J27" s="1038">
        <f t="shared" si="12"/>
        <v>0</v>
      </c>
      <c r="K27" s="1038">
        <f t="shared" si="13"/>
        <v>0</v>
      </c>
      <c r="L27" s="1038">
        <f t="shared" si="14"/>
        <v>0</v>
      </c>
      <c r="M27" s="1039">
        <f t="shared" si="15"/>
        <v>0</v>
      </c>
      <c r="N27" s="1037">
        <f>IF('Mkt Pen Veh-Mi'!N26=0,$N$5,($N$5-SUMPRODUCT(O27:S27,'Mkt Pen Veh-Mi'!O26:S26))/'Mkt Pen Veh-Mi'!N26)</f>
        <v>0.39932829612730575</v>
      </c>
      <c r="O27" s="1038">
        <f t="shared" si="16"/>
        <v>0</v>
      </c>
      <c r="P27" s="1038">
        <f t="shared" si="17"/>
        <v>0</v>
      </c>
      <c r="Q27" s="1038">
        <f t="shared" si="18"/>
        <v>0</v>
      </c>
      <c r="R27" s="1038">
        <f t="shared" si="19"/>
        <v>0</v>
      </c>
      <c r="S27" s="1039">
        <f t="shared" si="20"/>
        <v>0</v>
      </c>
    </row>
    <row r="28" spans="1:19" x14ac:dyDescent="0.25">
      <c r="A28" s="1040">
        <v>2025</v>
      </c>
      <c r="B28" s="1041">
        <f>IF('Mkt Pen Veh-Mi'!B27=0,$B$5,($B$5-SUMPRODUCT(C28:G28,'Mkt Pen Veh-Mi'!C27:G27))/'Mkt Pen Veh-Mi'!B27)</f>
        <v>0.23038147668861172</v>
      </c>
      <c r="C28" s="1042">
        <f t="shared" si="6"/>
        <v>0</v>
      </c>
      <c r="D28" s="1042">
        <f t="shared" si="7"/>
        <v>0</v>
      </c>
      <c r="E28" s="1042">
        <f t="shared" si="8"/>
        <v>0</v>
      </c>
      <c r="F28" s="1042">
        <f t="shared" si="9"/>
        <v>0</v>
      </c>
      <c r="G28" s="1043">
        <f t="shared" si="10"/>
        <v>0</v>
      </c>
      <c r="H28" s="1041">
        <f>IF('Mkt Pen Veh-Mi'!H27=0,$H$5,($H$5-SUMPRODUCT(I28:M28,'Mkt Pen Veh-Mi'!I27:M27))/'Mkt Pen Veh-Mi'!H27)</f>
        <v>0.61452169476443286</v>
      </c>
      <c r="I28" s="1042">
        <f t="shared" si="11"/>
        <v>0</v>
      </c>
      <c r="J28" s="1042">
        <f t="shared" si="12"/>
        <v>0</v>
      </c>
      <c r="K28" s="1042">
        <f t="shared" si="13"/>
        <v>0</v>
      </c>
      <c r="L28" s="1042">
        <f t="shared" si="14"/>
        <v>0</v>
      </c>
      <c r="M28" s="1043">
        <f t="shared" si="15"/>
        <v>0</v>
      </c>
      <c r="N28" s="1041">
        <f>IF('Mkt Pen Veh-Mi'!N27=0,$N$5,($N$5-SUMPRODUCT(O28:S28,'Mkt Pen Veh-Mi'!O27:S27))/'Mkt Pen Veh-Mi'!N27)</f>
        <v>0.39932829612730575</v>
      </c>
      <c r="O28" s="1042">
        <f t="shared" si="16"/>
        <v>0</v>
      </c>
      <c r="P28" s="1042">
        <f t="shared" si="17"/>
        <v>0</v>
      </c>
      <c r="Q28" s="1042">
        <f t="shared" si="18"/>
        <v>0</v>
      </c>
      <c r="R28" s="1042">
        <f t="shared" si="19"/>
        <v>0</v>
      </c>
      <c r="S28" s="1043">
        <f t="shared" si="20"/>
        <v>0</v>
      </c>
    </row>
    <row r="29" spans="1:19" x14ac:dyDescent="0.25">
      <c r="A29" s="1034">
        <v>2026</v>
      </c>
      <c r="B29" s="1044">
        <f>IF('Mkt Pen Veh-Mi'!B28=0,$B$5,($B$5-SUMPRODUCT(C29:G29,'Mkt Pen Veh-Mi'!C28:G28))/'Mkt Pen Veh-Mi'!B28)</f>
        <v>0.23090883114973143</v>
      </c>
      <c r="C29" s="1045">
        <f t="shared" si="6"/>
        <v>0.21562222191340941</v>
      </c>
      <c r="D29" s="1045">
        <f t="shared" si="7"/>
        <v>0.21102703281295848</v>
      </c>
      <c r="E29" s="1045">
        <f t="shared" si="8"/>
        <v>0</v>
      </c>
      <c r="F29" s="1045">
        <f t="shared" si="9"/>
        <v>0</v>
      </c>
      <c r="G29" s="1046">
        <f t="shared" si="10"/>
        <v>0</v>
      </c>
      <c r="H29" s="1044">
        <f>IF('Mkt Pen Veh-Mi'!H28=0,$H$5,($H$5-SUMPRODUCT(I29:M29,'Mkt Pen Veh-Mi'!I28:M28))/'Mkt Pen Veh-Mi'!H28)</f>
        <v>0.61422183447833545</v>
      </c>
      <c r="I29" s="1045">
        <f t="shared" si="11"/>
        <v>0.62079135262271001</v>
      </c>
      <c r="J29" s="1045">
        <f t="shared" si="12"/>
        <v>0.63425460815115831</v>
      </c>
      <c r="K29" s="1045">
        <f t="shared" si="13"/>
        <v>0</v>
      </c>
      <c r="L29" s="1045">
        <f t="shared" si="14"/>
        <v>0</v>
      </c>
      <c r="M29" s="1046">
        <f t="shared" si="15"/>
        <v>0</v>
      </c>
      <c r="N29" s="1044">
        <f>IF('Mkt Pen Veh-Mi'!N28=0,$N$5,($N$5-SUMPRODUCT(O29:S29,'Mkt Pen Veh-Mi'!O28:S28))/'Mkt Pen Veh-Mi'!N28)</f>
        <v>0.39925082996565531</v>
      </c>
      <c r="O29" s="1045">
        <f t="shared" si="16"/>
        <v>0.40311112751136502</v>
      </c>
      <c r="P29" s="1045">
        <f t="shared" si="17"/>
        <v>0.40170315005956603</v>
      </c>
      <c r="Q29" s="1045">
        <f t="shared" si="18"/>
        <v>0</v>
      </c>
      <c r="R29" s="1045">
        <f t="shared" si="19"/>
        <v>0</v>
      </c>
      <c r="S29" s="1046">
        <f t="shared" si="20"/>
        <v>0.35939630904487341</v>
      </c>
    </row>
    <row r="30" spans="1:19" x14ac:dyDescent="0.25">
      <c r="A30" s="1034">
        <v>2027</v>
      </c>
      <c r="B30" s="1037">
        <f>IF('Mkt Pen Veh-Mi'!B29=0,$B$5,($B$5-SUMPRODUCT(C30:G30,'Mkt Pen Veh-Mi'!C29:G29))/'Mkt Pen Veh-Mi'!B29)</f>
        <v>0.23133951758129698</v>
      </c>
      <c r="C30" s="1038">
        <f t="shared" si="6"/>
        <v>0.21050994594704275</v>
      </c>
      <c r="D30" s="1038">
        <f t="shared" si="7"/>
        <v>0.21609007673895531</v>
      </c>
      <c r="E30" s="1038">
        <f t="shared" si="8"/>
        <v>0</v>
      </c>
      <c r="F30" s="1038">
        <f t="shared" si="9"/>
        <v>0</v>
      </c>
      <c r="G30" s="1039">
        <f t="shared" si="10"/>
        <v>0</v>
      </c>
      <c r="H30" s="1037">
        <f>IF('Mkt Pen Veh-Mi'!H29=0,$H$5,($H$5-SUMPRODUCT(I30:M30,'Mkt Pen Veh-Mi'!I29:M29))/'Mkt Pen Veh-Mi'!H29)</f>
        <v>0.6137681704322705</v>
      </c>
      <c r="I30" s="1038">
        <f t="shared" si="11"/>
        <v>0.62620508827337096</v>
      </c>
      <c r="J30" s="1038">
        <f t="shared" si="12"/>
        <v>0.63536882199912459</v>
      </c>
      <c r="K30" s="1038">
        <f t="shared" si="13"/>
        <v>0</v>
      </c>
      <c r="L30" s="1038">
        <f t="shared" si="14"/>
        <v>0</v>
      </c>
      <c r="M30" s="1039">
        <f t="shared" si="15"/>
        <v>0</v>
      </c>
      <c r="N30" s="1037">
        <f>IF('Mkt Pen Veh-Mi'!N29=0,$N$5,($N$5-SUMPRODUCT(O30:S30,'Mkt Pen Veh-Mi'!O29:S29))/'Mkt Pen Veh-Mi'!N29)</f>
        <v>0.39911400042813516</v>
      </c>
      <c r="O30" s="1038">
        <f t="shared" si="16"/>
        <v>0.27294691585331471</v>
      </c>
      <c r="P30" s="1038">
        <f t="shared" si="17"/>
        <v>0.4077245949799097</v>
      </c>
      <c r="Q30" s="1038">
        <f t="shared" si="18"/>
        <v>0</v>
      </c>
      <c r="R30" s="1038">
        <f t="shared" si="19"/>
        <v>0</v>
      </c>
      <c r="S30" s="1039">
        <f t="shared" si="20"/>
        <v>0.32826458606517717</v>
      </c>
    </row>
    <row r="31" spans="1:19" x14ac:dyDescent="0.25">
      <c r="A31" s="1034">
        <v>2028</v>
      </c>
      <c r="B31" s="1037">
        <f>IF('Mkt Pen Veh-Mi'!B30=0,$B$5,($B$5-SUMPRODUCT(C31:G31,'Mkt Pen Veh-Mi'!C30:G30))/'Mkt Pen Veh-Mi'!B30)</f>
        <v>0.23277227481887469</v>
      </c>
      <c r="C31" s="1038">
        <f t="shared" si="6"/>
        <v>0.22706205441872615</v>
      </c>
      <c r="D31" s="1038">
        <f t="shared" si="7"/>
        <v>0.21535338938861925</v>
      </c>
      <c r="E31" s="1038">
        <f t="shared" si="8"/>
        <v>0</v>
      </c>
      <c r="F31" s="1038">
        <f t="shared" si="9"/>
        <v>0</v>
      </c>
      <c r="G31" s="1039">
        <f t="shared" si="10"/>
        <v>0</v>
      </c>
      <c r="H31" s="1037">
        <f>IF('Mkt Pen Veh-Mi'!H30=0,$H$5,($H$5-SUMPRODUCT(I31:M31,'Mkt Pen Veh-Mi'!I30:M30))/'Mkt Pen Veh-Mi'!H30)</f>
        <v>0.61290196947534525</v>
      </c>
      <c r="I31" s="1038">
        <f t="shared" si="11"/>
        <v>0.62288678581666779</v>
      </c>
      <c r="J31" s="1038">
        <f t="shared" si="12"/>
        <v>0.6289651114601349</v>
      </c>
      <c r="K31" s="1038">
        <f t="shared" si="13"/>
        <v>0</v>
      </c>
      <c r="L31" s="1038">
        <f t="shared" si="14"/>
        <v>0</v>
      </c>
      <c r="M31" s="1039">
        <f t="shared" si="15"/>
        <v>0</v>
      </c>
      <c r="N31" s="1037">
        <f>IF('Mkt Pen Veh-Mi'!N30=0,$N$5,($N$5-SUMPRODUCT(O31:S31,'Mkt Pen Veh-Mi'!O30:S30))/'Mkt Pen Veh-Mi'!N30)</f>
        <v>0.39856841996926401</v>
      </c>
      <c r="O31" s="1038">
        <f t="shared" si="16"/>
        <v>0.40592772699747132</v>
      </c>
      <c r="P31" s="1038">
        <f t="shared" si="17"/>
        <v>0.40263143627547421</v>
      </c>
      <c r="Q31" s="1038">
        <f t="shared" si="18"/>
        <v>0</v>
      </c>
      <c r="R31" s="1038">
        <f t="shared" si="19"/>
        <v>0</v>
      </c>
      <c r="S31" s="1039">
        <f t="shared" si="20"/>
        <v>0.30140754053627933</v>
      </c>
    </row>
    <row r="32" spans="1:19" x14ac:dyDescent="0.25">
      <c r="A32" s="1034">
        <v>2029</v>
      </c>
      <c r="B32" s="1037">
        <f>IF('Mkt Pen Veh-Mi'!B31=0,$B$5,($B$5-SUMPRODUCT(C32:G32,'Mkt Pen Veh-Mi'!C31:G31))/'Mkt Pen Veh-Mi'!B31)</f>
        <v>0.23468943628979816</v>
      </c>
      <c r="C32" s="1038">
        <f t="shared" si="6"/>
        <v>0.22802166433029825</v>
      </c>
      <c r="D32" s="1038">
        <f t="shared" si="7"/>
        <v>0.22065506678806901</v>
      </c>
      <c r="E32" s="1038">
        <f t="shared" si="8"/>
        <v>0</v>
      </c>
      <c r="F32" s="1038">
        <f t="shared" si="9"/>
        <v>0</v>
      </c>
      <c r="G32" s="1039">
        <f t="shared" si="10"/>
        <v>0</v>
      </c>
      <c r="H32" s="1037">
        <f>IF('Mkt Pen Veh-Mi'!H31=0,$H$5,($H$5-SUMPRODUCT(I32:M32,'Mkt Pen Veh-Mi'!I31:M31))/'Mkt Pen Veh-Mi'!H31)</f>
        <v>0.61074725031347854</v>
      </c>
      <c r="I32" s="1038">
        <f t="shared" si="11"/>
        <v>0.62103018849486447</v>
      </c>
      <c r="J32" s="1038">
        <f t="shared" si="12"/>
        <v>0.63014598014975842</v>
      </c>
      <c r="K32" s="1038">
        <f t="shared" si="13"/>
        <v>0</v>
      </c>
      <c r="L32" s="1038">
        <f t="shared" si="14"/>
        <v>0</v>
      </c>
      <c r="M32" s="1039">
        <f t="shared" si="15"/>
        <v>0</v>
      </c>
      <c r="N32" s="1037">
        <f>IF('Mkt Pen Veh-Mi'!N31=0,$N$5,($N$5-SUMPRODUCT(O32:S32,'Mkt Pen Veh-Mi'!O31:S31))/'Mkt Pen Veh-Mi'!N31)</f>
        <v>0.3981737266386437</v>
      </c>
      <c r="O32" s="1038">
        <f t="shared" si="16"/>
        <v>0.28794066779687166</v>
      </c>
      <c r="P32" s="1038">
        <f t="shared" si="17"/>
        <v>0.40898493122630603</v>
      </c>
      <c r="Q32" s="1038">
        <f t="shared" si="18"/>
        <v>0</v>
      </c>
      <c r="R32" s="1038">
        <f t="shared" si="19"/>
        <v>0</v>
      </c>
      <c r="S32" s="1039">
        <f t="shared" si="20"/>
        <v>0.29411787330581013</v>
      </c>
    </row>
    <row r="33" spans="1:19" x14ac:dyDescent="0.25">
      <c r="A33" s="1040">
        <v>2030</v>
      </c>
      <c r="B33" s="1041">
        <f>IF('Mkt Pen Veh-Mi'!B32=0,$B$5,($B$5-SUMPRODUCT(C33:G33,'Mkt Pen Veh-Mi'!C32:G32))/'Mkt Pen Veh-Mi'!B32)</f>
        <v>0.23756506458612597</v>
      </c>
      <c r="C33" s="1042">
        <f t="shared" si="6"/>
        <v>0.23150266736421299</v>
      </c>
      <c r="D33" s="1042">
        <f t="shared" si="7"/>
        <v>0.22116025134255088</v>
      </c>
      <c r="E33" s="1042">
        <f t="shared" si="8"/>
        <v>0</v>
      </c>
      <c r="F33" s="1042">
        <f t="shared" si="9"/>
        <v>0</v>
      </c>
      <c r="G33" s="1043">
        <f t="shared" si="10"/>
        <v>0</v>
      </c>
      <c r="H33" s="1041">
        <f>IF('Mkt Pen Veh-Mi'!H32=0,$H$5,($H$5-SUMPRODUCT(I33:M33,'Mkt Pen Veh-Mi'!I32:M32))/'Mkt Pen Veh-Mi'!H32)</f>
        <v>0.60525891436052837</v>
      </c>
      <c r="I33" s="1042">
        <f t="shared" si="11"/>
        <v>0.62740441912366807</v>
      </c>
      <c r="J33" s="1042">
        <f t="shared" si="12"/>
        <v>0.62556042951475965</v>
      </c>
      <c r="K33" s="1042">
        <f t="shared" si="13"/>
        <v>0</v>
      </c>
      <c r="L33" s="1042">
        <f t="shared" si="14"/>
        <v>0</v>
      </c>
      <c r="M33" s="1043">
        <f t="shared" si="15"/>
        <v>0</v>
      </c>
      <c r="N33" s="1041">
        <f>IF('Mkt Pen Veh-Mi'!N32=0,$N$5,($N$5-SUMPRODUCT(O33:S33,'Mkt Pen Veh-Mi'!O32:S32))/'Mkt Pen Veh-Mi'!N32)</f>
        <v>0.39728757025147565</v>
      </c>
      <c r="O33" s="1042">
        <f t="shared" si="16"/>
        <v>0.25898253929990572</v>
      </c>
      <c r="P33" s="1042">
        <f t="shared" si="17"/>
        <v>0.40460224888516749</v>
      </c>
      <c r="Q33" s="1042">
        <f t="shared" si="18"/>
        <v>0</v>
      </c>
      <c r="R33" s="1042">
        <f t="shared" si="19"/>
        <v>0</v>
      </c>
      <c r="S33" s="1043">
        <f t="shared" si="20"/>
        <v>0.26588306562981534</v>
      </c>
    </row>
    <row r="34" spans="1:19" x14ac:dyDescent="0.25">
      <c r="A34" s="1034">
        <v>2031</v>
      </c>
      <c r="B34" s="1044">
        <f>IF('Mkt Pen Veh-Mi'!B33=0,$B$5,($B$5-SUMPRODUCT(C34:G34,'Mkt Pen Veh-Mi'!C33:G33))/'Mkt Pen Veh-Mi'!B33)</f>
        <v>0.24101564407149986</v>
      </c>
      <c r="C34" s="1045">
        <f t="shared" si="6"/>
        <v>0.23255775904587767</v>
      </c>
      <c r="D34" s="1045">
        <f t="shared" si="7"/>
        <v>0.22299667354429956</v>
      </c>
      <c r="E34" s="1045">
        <f t="shared" si="8"/>
        <v>0</v>
      </c>
      <c r="F34" s="1045">
        <f t="shared" si="9"/>
        <v>0</v>
      </c>
      <c r="G34" s="1046">
        <f t="shared" si="10"/>
        <v>0</v>
      </c>
      <c r="H34" s="1044">
        <f>IF('Mkt Pen Veh-Mi'!H33=0,$H$5,($H$5-SUMPRODUCT(I34:M34,'Mkt Pen Veh-Mi'!I33:M33))/'Mkt Pen Veh-Mi'!H33)</f>
        <v>0.60448530077126639</v>
      </c>
      <c r="I34" s="1045">
        <f t="shared" si="11"/>
        <v>0.6214990849976948</v>
      </c>
      <c r="J34" s="1045">
        <f t="shared" si="12"/>
        <v>0.62296909988622717</v>
      </c>
      <c r="K34" s="1045">
        <f t="shared" si="13"/>
        <v>0</v>
      </c>
      <c r="L34" s="1045">
        <f t="shared" si="14"/>
        <v>0</v>
      </c>
      <c r="M34" s="1046">
        <f t="shared" si="15"/>
        <v>0</v>
      </c>
      <c r="N34" s="1044">
        <f>IF('Mkt Pen Veh-Mi'!N33=0,$N$5,($N$5-SUMPRODUCT(O34:S34,'Mkt Pen Veh-Mi'!O33:S33))/'Mkt Pen Veh-Mi'!N33)</f>
        <v>0.39539241832109784</v>
      </c>
      <c r="O34" s="1045">
        <f t="shared" si="16"/>
        <v>0.26679412480716197</v>
      </c>
      <c r="P34" s="1045">
        <f t="shared" si="17"/>
        <v>0.40610209304607986</v>
      </c>
      <c r="Q34" s="1045">
        <f t="shared" si="18"/>
        <v>0</v>
      </c>
      <c r="R34" s="1045">
        <f t="shared" si="19"/>
        <v>0</v>
      </c>
      <c r="S34" s="1046">
        <f t="shared" si="20"/>
        <v>0.25572805281516092</v>
      </c>
    </row>
    <row r="35" spans="1:19" x14ac:dyDescent="0.25">
      <c r="A35" s="1034">
        <v>2032</v>
      </c>
      <c r="B35" s="1037">
        <f>IF('Mkt Pen Veh-Mi'!B34=0,$B$5,($B$5-SUMPRODUCT(C35:G35,'Mkt Pen Veh-Mi'!C34:G34))/'Mkt Pen Veh-Mi'!B34)</f>
        <v>0.26728093706781952</v>
      </c>
      <c r="C35" s="1038">
        <f t="shared" si="6"/>
        <v>0.22980002218277262</v>
      </c>
      <c r="D35" s="1038">
        <f t="shared" si="7"/>
        <v>0.22342752508897265</v>
      </c>
      <c r="E35" s="1038">
        <f t="shared" si="8"/>
        <v>0</v>
      </c>
      <c r="F35" s="1038">
        <f t="shared" si="9"/>
        <v>0</v>
      </c>
      <c r="G35" s="1039">
        <f t="shared" si="10"/>
        <v>0</v>
      </c>
      <c r="H35" s="1037">
        <f>IF('Mkt Pen Veh-Mi'!H34=0,$H$5,($H$5-SUMPRODUCT(I35:M35,'Mkt Pen Veh-Mi'!I34:M34))/'Mkt Pen Veh-Mi'!H34)</f>
        <v>0.60053864377588484</v>
      </c>
      <c r="I35" s="1038">
        <f t="shared" si="11"/>
        <v>0.6220810351116669</v>
      </c>
      <c r="J35" s="1038">
        <f t="shared" si="12"/>
        <v>0.62273314936183699</v>
      </c>
      <c r="K35" s="1038">
        <f t="shared" si="13"/>
        <v>0</v>
      </c>
      <c r="L35" s="1038">
        <f t="shared" si="14"/>
        <v>0</v>
      </c>
      <c r="M35" s="1039">
        <f t="shared" si="15"/>
        <v>0.42581722803114563</v>
      </c>
      <c r="N35" s="1037">
        <f>IF('Mkt Pen Veh-Mi'!N34=0,$N$5,($N$5-SUMPRODUCT(O35:S35,'Mkt Pen Veh-Mi'!O34:S34))/'Mkt Pen Veh-Mi'!N34)</f>
        <v>0.39798269005736664</v>
      </c>
      <c r="O35" s="1038">
        <f t="shared" si="16"/>
        <v>0.34694239893938644</v>
      </c>
      <c r="P35" s="1038">
        <f t="shared" si="17"/>
        <v>0.40778640142976535</v>
      </c>
      <c r="Q35" s="1038">
        <f t="shared" si="18"/>
        <v>0</v>
      </c>
      <c r="R35" s="1038">
        <f t="shared" si="19"/>
        <v>0</v>
      </c>
      <c r="S35" s="1039">
        <f t="shared" si="20"/>
        <v>0.24699707807579127</v>
      </c>
    </row>
    <row r="36" spans="1:19" x14ac:dyDescent="0.25">
      <c r="A36" s="1034">
        <v>2033</v>
      </c>
      <c r="B36" s="1037">
        <f>IF('Mkt Pen Veh-Mi'!B35=0,$B$5,($B$5-SUMPRODUCT(C36:G36,'Mkt Pen Veh-Mi'!C35:G35))/'Mkt Pen Veh-Mi'!B35)</f>
        <v>0.25827173123304648</v>
      </c>
      <c r="C36" s="1038">
        <f t="shared" si="6"/>
        <v>0.23247036504432247</v>
      </c>
      <c r="D36" s="1038">
        <f t="shared" si="7"/>
        <v>0.22445916967983034</v>
      </c>
      <c r="E36" s="1038">
        <f t="shared" si="8"/>
        <v>0</v>
      </c>
      <c r="F36" s="1038">
        <f t="shared" si="9"/>
        <v>0</v>
      </c>
      <c r="G36" s="1039">
        <f t="shared" si="10"/>
        <v>0</v>
      </c>
      <c r="H36" s="1037">
        <f>IF('Mkt Pen Veh-Mi'!H35=0,$H$5,($H$5-SUMPRODUCT(I36:M36,'Mkt Pen Veh-Mi'!I35:M35))/'Mkt Pen Veh-Mi'!H35)</f>
        <v>0.59744389103903783</v>
      </c>
      <c r="I36" s="1038">
        <f t="shared" si="11"/>
        <v>0.62001296621761037</v>
      </c>
      <c r="J36" s="1038">
        <f t="shared" si="12"/>
        <v>0.62573042756278241</v>
      </c>
      <c r="K36" s="1038">
        <f t="shared" si="13"/>
        <v>0</v>
      </c>
      <c r="L36" s="1038">
        <f t="shared" si="14"/>
        <v>0</v>
      </c>
      <c r="M36" s="1039">
        <f t="shared" si="15"/>
        <v>0.49505884659099336</v>
      </c>
      <c r="N36" s="1037">
        <f>IF('Mkt Pen Veh-Mi'!N35=0,$N$5,($N$5-SUMPRODUCT(O36:S36,'Mkt Pen Veh-Mi'!O35:S35))/'Mkt Pen Veh-Mi'!N35)</f>
        <v>0.39611523147155503</v>
      </c>
      <c r="O36" s="1038">
        <f t="shared" si="16"/>
        <v>0.38883105755042846</v>
      </c>
      <c r="P36" s="1038">
        <f t="shared" si="17"/>
        <v>0.40505052265230246</v>
      </c>
      <c r="Q36" s="1038">
        <f t="shared" si="18"/>
        <v>0</v>
      </c>
      <c r="R36" s="1038">
        <f t="shared" si="19"/>
        <v>7.6188578586196154E-2</v>
      </c>
      <c r="S36" s="1039">
        <f t="shared" si="20"/>
        <v>0.25053777633036239</v>
      </c>
    </row>
    <row r="37" spans="1:19" x14ac:dyDescent="0.25">
      <c r="A37" s="1034">
        <v>2034</v>
      </c>
      <c r="B37" s="1037">
        <f>IF('Mkt Pen Veh-Mi'!B36=0,$B$5,($B$5-SUMPRODUCT(C37:G37,'Mkt Pen Veh-Mi'!C36:G36))/'Mkt Pen Veh-Mi'!B36)</f>
        <v>0.27596483012060047</v>
      </c>
      <c r="C37" s="1038">
        <f t="shared" si="6"/>
        <v>0.23151951490678871</v>
      </c>
      <c r="D37" s="1038">
        <f t="shared" si="7"/>
        <v>0.22485439948714725</v>
      </c>
      <c r="E37" s="1038">
        <f t="shared" si="8"/>
        <v>0</v>
      </c>
      <c r="F37" s="1038">
        <f t="shared" si="9"/>
        <v>0</v>
      </c>
      <c r="G37" s="1039">
        <f t="shared" si="10"/>
        <v>0</v>
      </c>
      <c r="H37" s="1037">
        <f>IF('Mkt Pen Veh-Mi'!H36=0,$H$5,($H$5-SUMPRODUCT(I37:M37,'Mkt Pen Veh-Mi'!I36:M36))/'Mkt Pen Veh-Mi'!H36)</f>
        <v>0.60200810768592983</v>
      </c>
      <c r="I37" s="1038">
        <f t="shared" si="11"/>
        <v>0.62019740933921008</v>
      </c>
      <c r="J37" s="1038">
        <f t="shared" si="12"/>
        <v>0.61997932787146171</v>
      </c>
      <c r="K37" s="1038">
        <f t="shared" si="13"/>
        <v>0</v>
      </c>
      <c r="L37" s="1038">
        <f t="shared" si="14"/>
        <v>0</v>
      </c>
      <c r="M37" s="1039">
        <f t="shared" si="15"/>
        <v>0.5395716577425097</v>
      </c>
      <c r="N37" s="1037">
        <f>IF('Mkt Pen Veh-Mi'!N36=0,$N$5,($N$5-SUMPRODUCT(O37:S37,'Mkt Pen Veh-Mi'!O36:S36))/'Mkt Pen Veh-Mi'!N36)</f>
        <v>0.3958162081313224</v>
      </c>
      <c r="O37" s="1038">
        <f t="shared" si="16"/>
        <v>0.39621108503442859</v>
      </c>
      <c r="P37" s="1038">
        <f t="shared" si="17"/>
        <v>0.4039419045078862</v>
      </c>
      <c r="Q37" s="1038">
        <f t="shared" si="18"/>
        <v>0</v>
      </c>
      <c r="R37" s="1038">
        <f t="shared" si="19"/>
        <v>0.11839043577849322</v>
      </c>
      <c r="S37" s="1039">
        <f t="shared" si="20"/>
        <v>0.25047788667311494</v>
      </c>
    </row>
    <row r="38" spans="1:19" x14ac:dyDescent="0.25">
      <c r="A38" s="1040">
        <v>2035</v>
      </c>
      <c r="B38" s="1041">
        <f>IF('Mkt Pen Veh-Mi'!B37=0,$B$5,($B$5-SUMPRODUCT(C38:G38,'Mkt Pen Veh-Mi'!C37:G37))/'Mkt Pen Veh-Mi'!B37)</f>
        <v>0.29786569223864096</v>
      </c>
      <c r="C38" s="1042">
        <f t="shared" si="6"/>
        <v>0.229657357018272</v>
      </c>
      <c r="D38" s="1042">
        <f t="shared" si="7"/>
        <v>0.22615190907381172</v>
      </c>
      <c r="E38" s="1042">
        <f t="shared" si="8"/>
        <v>0</v>
      </c>
      <c r="F38" s="1042">
        <f t="shared" si="9"/>
        <v>0</v>
      </c>
      <c r="G38" s="1043">
        <f t="shared" si="10"/>
        <v>0</v>
      </c>
      <c r="H38" s="1041">
        <f>IF('Mkt Pen Veh-Mi'!H37=0,$H$5,($H$5-SUMPRODUCT(I38:M38,'Mkt Pen Veh-Mi'!I37:M37))/'Mkt Pen Veh-Mi'!H37)</f>
        <v>0.59679920801785624</v>
      </c>
      <c r="I38" s="1042">
        <f t="shared" si="11"/>
        <v>0.6207414170364226</v>
      </c>
      <c r="J38" s="1042">
        <f t="shared" si="12"/>
        <v>0.62312678699868129</v>
      </c>
      <c r="K38" s="1042">
        <f t="shared" si="13"/>
        <v>0</v>
      </c>
      <c r="L38" s="1042">
        <f t="shared" si="14"/>
        <v>0</v>
      </c>
      <c r="M38" s="1043">
        <f t="shared" si="15"/>
        <v>0.54590421956685908</v>
      </c>
      <c r="N38" s="1041">
        <f>IF('Mkt Pen Veh-Mi'!N37=0,$N$5,($N$5-SUMPRODUCT(O38:S38,'Mkt Pen Veh-Mi'!O37:S37))/'Mkt Pen Veh-Mi'!N37)</f>
        <v>0.39609733113522066</v>
      </c>
      <c r="O38" s="1042">
        <f t="shared" si="16"/>
        <v>0.40429168820567452</v>
      </c>
      <c r="P38" s="1042">
        <f t="shared" si="17"/>
        <v>0.40200230498939682</v>
      </c>
      <c r="Q38" s="1042">
        <f t="shared" si="18"/>
        <v>0</v>
      </c>
      <c r="R38" s="1042">
        <f t="shared" si="19"/>
        <v>0.14578300311260761</v>
      </c>
      <c r="S38" s="1043">
        <f t="shared" si="20"/>
        <v>0.25131555372260733</v>
      </c>
    </row>
    <row r="39" spans="1:19" x14ac:dyDescent="0.25">
      <c r="A39" s="1034">
        <v>2036</v>
      </c>
      <c r="B39" s="1044">
        <f>IF('Mkt Pen Veh-Mi'!B38=0,$B$5,($B$5-SUMPRODUCT(C39:G39,'Mkt Pen Veh-Mi'!C38:G38))/'Mkt Pen Veh-Mi'!B38)</f>
        <v>0.31685750529080692</v>
      </c>
      <c r="C39" s="1045">
        <f t="shared" si="6"/>
        <v>0.23040309229664835</v>
      </c>
      <c r="D39" s="1045">
        <f t="shared" si="7"/>
        <v>0.22483461217596012</v>
      </c>
      <c r="E39" s="1045">
        <f t="shared" si="8"/>
        <v>0</v>
      </c>
      <c r="F39" s="1045">
        <f t="shared" si="9"/>
        <v>0</v>
      </c>
      <c r="G39" s="1046">
        <f t="shared" si="10"/>
        <v>0</v>
      </c>
      <c r="H39" s="1044">
        <f>IF('Mkt Pen Veh-Mi'!H38=0,$H$5,($H$5-SUMPRODUCT(I39:M39,'Mkt Pen Veh-Mi'!I38:M38))/'Mkt Pen Veh-Mi'!H38)</f>
        <v>0.60194219886230194</v>
      </c>
      <c r="I39" s="1045">
        <f t="shared" si="11"/>
        <v>0.61788515849204562</v>
      </c>
      <c r="J39" s="1045">
        <f t="shared" si="12"/>
        <v>0.62158887874805679</v>
      </c>
      <c r="K39" s="1045">
        <f t="shared" si="13"/>
        <v>0</v>
      </c>
      <c r="L39" s="1045">
        <f t="shared" si="14"/>
        <v>0</v>
      </c>
      <c r="M39" s="1046">
        <f t="shared" si="15"/>
        <v>0.55504448804043882</v>
      </c>
      <c r="N39" s="1044">
        <f>IF('Mkt Pen Veh-Mi'!N38=0,$N$5,($N$5-SUMPRODUCT(O39:S39,'Mkt Pen Veh-Mi'!O38:S38))/'Mkt Pen Veh-Mi'!N38)</f>
        <v>0.39615094574578047</v>
      </c>
      <c r="O39" s="1045">
        <f t="shared" si="16"/>
        <v>0.40682830289217237</v>
      </c>
      <c r="P39" s="1045">
        <f t="shared" si="17"/>
        <v>0.40077075015221547</v>
      </c>
      <c r="Q39" s="1045">
        <f t="shared" si="18"/>
        <v>0</v>
      </c>
      <c r="R39" s="1045">
        <f t="shared" si="19"/>
        <v>0.17040512781296821</v>
      </c>
      <c r="S39" s="1046">
        <f t="shared" si="20"/>
        <v>0.25057297434706999</v>
      </c>
    </row>
    <row r="40" spans="1:19" x14ac:dyDescent="0.25">
      <c r="A40" s="1034">
        <v>2037</v>
      </c>
      <c r="B40" s="1037">
        <f>IF('Mkt Pen Veh-Mi'!B39=0,$B$5,($B$5-SUMPRODUCT(C40:G40,'Mkt Pen Veh-Mi'!C39:G39))/'Mkt Pen Veh-Mi'!B39)</f>
        <v>0.31840027429358503</v>
      </c>
      <c r="C40" s="1038">
        <f t="shared" si="6"/>
        <v>0.2300078156842226</v>
      </c>
      <c r="D40" s="1038">
        <f t="shared" si="7"/>
        <v>0.225360762068921</v>
      </c>
      <c r="E40" s="1038">
        <f t="shared" si="8"/>
        <v>0</v>
      </c>
      <c r="F40" s="1038">
        <f t="shared" si="9"/>
        <v>0</v>
      </c>
      <c r="G40" s="1039">
        <f t="shared" si="10"/>
        <v>0</v>
      </c>
      <c r="H40" s="1037">
        <f>IF('Mkt Pen Veh-Mi'!H39=0,$H$5,($H$5-SUMPRODUCT(I40:M40,'Mkt Pen Veh-Mi'!I39:M39))/'Mkt Pen Veh-Mi'!H39)</f>
        <v>0.60040027053526013</v>
      </c>
      <c r="I40" s="1038">
        <f t="shared" si="11"/>
        <v>0.61906637677177778</v>
      </c>
      <c r="J40" s="1038">
        <f t="shared" si="12"/>
        <v>0.62126766785440246</v>
      </c>
      <c r="K40" s="1038">
        <f t="shared" si="13"/>
        <v>0</v>
      </c>
      <c r="L40" s="1038">
        <f t="shared" si="14"/>
        <v>0</v>
      </c>
      <c r="M40" s="1039">
        <f t="shared" si="15"/>
        <v>0.58842522485729465</v>
      </c>
      <c r="N40" s="1037">
        <f>IF('Mkt Pen Veh-Mi'!N39=0,$N$5,($N$5-SUMPRODUCT(O40:S40,'Mkt Pen Veh-Mi'!O39:S39))/'Mkt Pen Veh-Mi'!N39)</f>
        <v>0.39485725864524396</v>
      </c>
      <c r="O40" s="1038">
        <f t="shared" si="16"/>
        <v>0.40319756538218382</v>
      </c>
      <c r="P40" s="1038">
        <f t="shared" si="17"/>
        <v>0.40357565366223852</v>
      </c>
      <c r="Q40" s="1038">
        <f t="shared" si="18"/>
        <v>0</v>
      </c>
      <c r="R40" s="1038">
        <f t="shared" si="19"/>
        <v>0.1851689646061688</v>
      </c>
      <c r="S40" s="1039">
        <f t="shared" si="20"/>
        <v>0.25821969264416855</v>
      </c>
    </row>
    <row r="41" spans="1:19" x14ac:dyDescent="0.25">
      <c r="A41" s="1034">
        <v>2038</v>
      </c>
      <c r="B41" s="1037">
        <f>IF('Mkt Pen Veh-Mi'!B40=0,$B$5,($B$5-SUMPRODUCT(C41:G41,'Mkt Pen Veh-Mi'!C40:G40))/'Mkt Pen Veh-Mi'!B40)</f>
        <v>0.31811370654370197</v>
      </c>
      <c r="C41" s="1038">
        <f t="shared" si="6"/>
        <v>0.22940154880873279</v>
      </c>
      <c r="D41" s="1038">
        <f t="shared" si="7"/>
        <v>0.22612677590262917</v>
      </c>
      <c r="E41" s="1038">
        <f t="shared" si="8"/>
        <v>0</v>
      </c>
      <c r="F41" s="1038">
        <f t="shared" si="9"/>
        <v>0</v>
      </c>
      <c r="G41" s="1039">
        <f t="shared" si="10"/>
        <v>0</v>
      </c>
      <c r="H41" s="1037">
        <f>IF('Mkt Pen Veh-Mi'!H40=0,$H$5,($H$5-SUMPRODUCT(I41:M41,'Mkt Pen Veh-Mi'!I40:M40))/'Mkt Pen Veh-Mi'!H40)</f>
        <v>0.59289402422948168</v>
      </c>
      <c r="I41" s="1038">
        <f t="shared" si="11"/>
        <v>0.62316200702085356</v>
      </c>
      <c r="J41" s="1038">
        <f t="shared" si="12"/>
        <v>0.6221670247295783</v>
      </c>
      <c r="K41" s="1038">
        <f t="shared" si="13"/>
        <v>0</v>
      </c>
      <c r="L41" s="1038">
        <f t="shared" si="14"/>
        <v>0</v>
      </c>
      <c r="M41" s="1039">
        <f t="shared" si="15"/>
        <v>0.59024564626951337</v>
      </c>
      <c r="N41" s="1037">
        <f>IF('Mkt Pen Veh-Mi'!N40=0,$N$5,($N$5-SUMPRODUCT(O41:S41,'Mkt Pen Veh-Mi'!O40:S40))/'Mkt Pen Veh-Mi'!N40)</f>
        <v>0.38510234619623357</v>
      </c>
      <c r="O41" s="1038">
        <f t="shared" si="16"/>
        <v>0.40838731505629589</v>
      </c>
      <c r="P41" s="1038">
        <f t="shared" si="17"/>
        <v>0.4067744335542115</v>
      </c>
      <c r="Q41" s="1038">
        <f t="shared" si="18"/>
        <v>0</v>
      </c>
      <c r="R41" s="1038">
        <f t="shared" si="19"/>
        <v>0.21144735638310336</v>
      </c>
      <c r="S41" s="1039">
        <f t="shared" si="20"/>
        <v>0.26766995582660069</v>
      </c>
    </row>
    <row r="42" spans="1:19" x14ac:dyDescent="0.25">
      <c r="A42" s="1034">
        <v>2039</v>
      </c>
      <c r="B42" s="1037">
        <f>IF('Mkt Pen Veh-Mi'!B41=0,$B$5,($B$5-SUMPRODUCT(C42:G42,'Mkt Pen Veh-Mi'!C41:G41))/'Mkt Pen Veh-Mi'!B41)</f>
        <v>0.28028902158525287</v>
      </c>
      <c r="C42" s="1038">
        <f t="shared" si="6"/>
        <v>0.23088512171727657</v>
      </c>
      <c r="D42" s="1038">
        <f t="shared" si="7"/>
        <v>0.22711350621850135</v>
      </c>
      <c r="E42" s="1038">
        <f t="shared" si="8"/>
        <v>0</v>
      </c>
      <c r="F42" s="1038">
        <f t="shared" si="9"/>
        <v>0</v>
      </c>
      <c r="G42" s="1039">
        <f t="shared" si="10"/>
        <v>0</v>
      </c>
      <c r="H42" s="1037">
        <f>IF('Mkt Pen Veh-Mi'!H41=0,$H$5,($H$5-SUMPRODUCT(I42:M42,'Mkt Pen Veh-Mi'!I41:M41))/'Mkt Pen Veh-Mi'!H41)</f>
        <v>0.60242387920323004</v>
      </c>
      <c r="I42" s="1038">
        <f t="shared" si="11"/>
        <v>0.61760693450047621</v>
      </c>
      <c r="J42" s="1038">
        <f t="shared" si="12"/>
        <v>0.62031550154342607</v>
      </c>
      <c r="K42" s="1038">
        <f t="shared" si="13"/>
        <v>0</v>
      </c>
      <c r="L42" s="1038">
        <f t="shared" si="14"/>
        <v>0</v>
      </c>
      <c r="M42" s="1039">
        <f t="shared" si="15"/>
        <v>0.6196966529575535</v>
      </c>
      <c r="N42" s="1037">
        <f>IF('Mkt Pen Veh-Mi'!N41=0,$N$5,($N$5-SUMPRODUCT(O42:S42,'Mkt Pen Veh-Mi'!O41:S41))/'Mkt Pen Veh-Mi'!N41)</f>
        <v>0.38246944560540191</v>
      </c>
      <c r="O42" s="1038">
        <f t="shared" si="16"/>
        <v>0.40720940200879174</v>
      </c>
      <c r="P42" s="1038">
        <f t="shared" si="17"/>
        <v>0.40765619314759516</v>
      </c>
      <c r="Q42" s="1038">
        <f t="shared" si="18"/>
        <v>0</v>
      </c>
      <c r="R42" s="1038">
        <f t="shared" si="19"/>
        <v>0.23831496868331326</v>
      </c>
      <c r="S42" s="1039">
        <f t="shared" si="20"/>
        <v>0.27174535515280768</v>
      </c>
    </row>
    <row r="43" spans="1:19" x14ac:dyDescent="0.25">
      <c r="A43" s="1040">
        <v>2040</v>
      </c>
      <c r="B43" s="1041">
        <f>IF('Mkt Pen Veh-Mi'!B42=0,$B$5,($B$5-SUMPRODUCT(C43:G43,'Mkt Pen Veh-Mi'!C42:G42))/'Mkt Pen Veh-Mi'!B42)</f>
        <v>0.28477869646513215</v>
      </c>
      <c r="C43" s="1042">
        <f t="shared" si="6"/>
        <v>0.23042453635357787</v>
      </c>
      <c r="D43" s="1042">
        <f t="shared" si="7"/>
        <v>0.22744442833053855</v>
      </c>
      <c r="E43" s="1042">
        <f t="shared" si="8"/>
        <v>0</v>
      </c>
      <c r="F43" s="1042">
        <f t="shared" si="9"/>
        <v>0</v>
      </c>
      <c r="G43" s="1043">
        <f t="shared" si="10"/>
        <v>0</v>
      </c>
      <c r="H43" s="1063">
        <f>IF('Mkt Pen Veh-Mi'!H42=0,$H$5,($H$5-SUMPRODUCT(I43:M43,'Mkt Pen Veh-Mi'!I42:M42))/'Mkt Pen Veh-Mi'!H42)</f>
        <v>0.59930540855957104</v>
      </c>
      <c r="I43" s="1064">
        <f t="shared" si="11"/>
        <v>0.62004818316108912</v>
      </c>
      <c r="J43" s="1064">
        <f t="shared" si="12"/>
        <v>0.61993782952203857</v>
      </c>
      <c r="K43" s="1064">
        <f t="shared" si="13"/>
        <v>0</v>
      </c>
      <c r="L43" s="1064">
        <f t="shared" si="14"/>
        <v>0.17338431047037225</v>
      </c>
      <c r="M43" s="1065">
        <f t="shared" si="15"/>
        <v>0.6547937196275051</v>
      </c>
      <c r="N43" s="1037">
        <f>IF('Mkt Pen Veh-Mi'!N42=0,$N$5,($N$5-SUMPRODUCT(O43:S43,'Mkt Pen Veh-Mi'!O42:S42))/'Mkt Pen Veh-Mi'!N42)</f>
        <v>0.38124047334255962</v>
      </c>
      <c r="O43" s="1038">
        <f t="shared" si="16"/>
        <v>0.4064534192679134</v>
      </c>
      <c r="P43" s="1038">
        <f t="shared" si="17"/>
        <v>0.40755481174878</v>
      </c>
      <c r="Q43" s="1038">
        <f t="shared" si="18"/>
        <v>0</v>
      </c>
      <c r="R43" s="1038">
        <f t="shared" si="19"/>
        <v>0.25475627753910596</v>
      </c>
      <c r="S43" s="1039">
        <f t="shared" si="20"/>
        <v>0.28764269317837909</v>
      </c>
    </row>
    <row r="44" spans="1:19" x14ac:dyDescent="0.25">
      <c r="A44" s="1034">
        <v>2041</v>
      </c>
      <c r="B44" s="1044">
        <f>IF('Mkt Pen Veh-Mi'!B43=0,$B$5,($B$5-SUMPRODUCT(C44:G44,'Mkt Pen Veh-Mi'!C43:G43))/'Mkt Pen Veh-Mi'!B43)</f>
        <v>0.28700776414754503</v>
      </c>
      <c r="C44" s="1045">
        <f t="shared" si="6"/>
        <v>0.22999616537781387</v>
      </c>
      <c r="D44" s="1045">
        <f t="shared" si="7"/>
        <v>0.22799005667281366</v>
      </c>
      <c r="E44" s="1045">
        <f t="shared" si="8"/>
        <v>0</v>
      </c>
      <c r="F44" s="1045">
        <f t="shared" si="9"/>
        <v>0</v>
      </c>
      <c r="G44" s="1046">
        <f t="shared" si="10"/>
        <v>0</v>
      </c>
      <c r="H44" s="1044">
        <f>IF('Mkt Pen Veh-Mi'!H43=0,$H$5,($H$5-SUMPRODUCT(I44:M44,'Mkt Pen Veh-Mi'!I43:M43))/'Mkt Pen Veh-Mi'!H43)</f>
        <v>0.59810896512694145</v>
      </c>
      <c r="I44" s="1045">
        <f t="shared" si="11"/>
        <v>0.62054609388199633</v>
      </c>
      <c r="J44" s="1045">
        <f t="shared" si="12"/>
        <v>0.62032755158250519</v>
      </c>
      <c r="K44" s="1045">
        <f t="shared" si="13"/>
        <v>0</v>
      </c>
      <c r="L44" s="1045">
        <f t="shared" si="14"/>
        <v>0.47480764453199464</v>
      </c>
      <c r="M44" s="1046">
        <f t="shared" si="15"/>
        <v>0.66383053149809357</v>
      </c>
      <c r="N44" s="1044">
        <f>IF('Mkt Pen Veh-Mi'!N43=0,$N$5,($N$5-SUMPRODUCT(O44:S44,'Mkt Pen Veh-Mi'!O43:S43))/'Mkt Pen Veh-Mi'!N43)</f>
        <v>0.37872149464427241</v>
      </c>
      <c r="O44" s="1045">
        <f t="shared" si="16"/>
        <v>0.40641010430761709</v>
      </c>
      <c r="P44" s="1045">
        <f t="shared" si="17"/>
        <v>0.40670043655511973</v>
      </c>
      <c r="Q44" s="1045">
        <f t="shared" si="18"/>
        <v>0</v>
      </c>
      <c r="R44" s="1045">
        <f t="shared" si="19"/>
        <v>0.28918111526675017</v>
      </c>
      <c r="S44" s="1046">
        <f t="shared" si="20"/>
        <v>0.30726731692191628</v>
      </c>
    </row>
    <row r="45" spans="1:19" x14ac:dyDescent="0.25">
      <c r="A45" s="1034">
        <v>2042</v>
      </c>
      <c r="B45" s="1037">
        <f>IF('Mkt Pen Veh-Mi'!B44=0,$B$5,($B$5-SUMPRODUCT(C45:G45,'Mkt Pen Veh-Mi'!C44:G44))/'Mkt Pen Veh-Mi'!B44)</f>
        <v>0.28081986114465368</v>
      </c>
      <c r="C45" s="1038">
        <f t="shared" si="6"/>
        <v>0.2299327081195254</v>
      </c>
      <c r="D45" s="1038">
        <f t="shared" si="7"/>
        <v>0.22834724979994969</v>
      </c>
      <c r="E45" s="1038">
        <f t="shared" si="8"/>
        <v>0</v>
      </c>
      <c r="F45" s="1038">
        <f t="shared" si="9"/>
        <v>0</v>
      </c>
      <c r="G45" s="1039">
        <f t="shared" si="10"/>
        <v>0.17925362194531924</v>
      </c>
      <c r="H45" s="1037">
        <f>IF('Mkt Pen Veh-Mi'!H44=0,$H$5,($H$5-SUMPRODUCT(I45:M45,'Mkt Pen Veh-Mi'!I44:M44))/'Mkt Pen Veh-Mi'!H44)</f>
        <v>0.59785764142711495</v>
      </c>
      <c r="I45" s="1038">
        <f t="shared" si="11"/>
        <v>0.62105417371388294</v>
      </c>
      <c r="J45" s="1038">
        <f t="shared" si="12"/>
        <v>0.62003574472963741</v>
      </c>
      <c r="K45" s="1038">
        <f t="shared" si="13"/>
        <v>0</v>
      </c>
      <c r="L45" s="1038">
        <f t="shared" si="14"/>
        <v>0.56269749381537082</v>
      </c>
      <c r="M45" s="1039">
        <f t="shared" si="15"/>
        <v>0.65011983015516406</v>
      </c>
      <c r="N45" s="1037">
        <f>IF('Mkt Pen Veh-Mi'!N44=0,$N$5,($N$5-SUMPRODUCT(O45:S45,'Mkt Pen Veh-Mi'!O44:S44))/'Mkt Pen Veh-Mi'!N44)</f>
        <v>0.37116995811035253</v>
      </c>
      <c r="O45" s="1038">
        <f t="shared" si="16"/>
        <v>0.4057192372939788</v>
      </c>
      <c r="P45" s="1038">
        <f t="shared" si="17"/>
        <v>0.40603491800028674</v>
      </c>
      <c r="Q45" s="1038">
        <f t="shared" si="18"/>
        <v>0</v>
      </c>
      <c r="R45" s="1038">
        <f t="shared" si="19"/>
        <v>0.32665299531165221</v>
      </c>
      <c r="S45" s="1039">
        <f t="shared" si="20"/>
        <v>0.33530347016606094</v>
      </c>
    </row>
    <row r="46" spans="1:19" x14ac:dyDescent="0.25">
      <c r="A46" s="1034">
        <v>2043</v>
      </c>
      <c r="B46" s="1037">
        <f>IF('Mkt Pen Veh-Mi'!B45=0,$B$5,($B$5-SUMPRODUCT(C46:G46,'Mkt Pen Veh-Mi'!C45:G45))/'Mkt Pen Veh-Mi'!B45)</f>
        <v>0.27934534207749279</v>
      </c>
      <c r="C46" s="1038">
        <f t="shared" si="6"/>
        <v>0.23082979213949126</v>
      </c>
      <c r="D46" s="1038">
        <f t="shared" si="7"/>
        <v>0.22934537522747733</v>
      </c>
      <c r="E46" s="1038">
        <f t="shared" si="8"/>
        <v>0</v>
      </c>
      <c r="F46" s="1038">
        <f t="shared" si="9"/>
        <v>7.7670875062965702E-2</v>
      </c>
      <c r="G46" s="1039">
        <f t="shared" si="10"/>
        <v>0.19883807964887365</v>
      </c>
      <c r="H46" s="1037">
        <f>IF('Mkt Pen Veh-Mi'!H45=0,$H$5,($H$5-SUMPRODUCT(I46:M46,'Mkt Pen Veh-Mi'!I45:M45))/'Mkt Pen Veh-Mi'!H45)</f>
        <v>0.60369459945884107</v>
      </c>
      <c r="I46" s="1038">
        <f t="shared" si="11"/>
        <v>0.61662085100687836</v>
      </c>
      <c r="J46" s="1038">
        <f t="shared" si="12"/>
        <v>0.61911779705035863</v>
      </c>
      <c r="K46" s="1038">
        <f t="shared" si="13"/>
        <v>0</v>
      </c>
      <c r="L46" s="1038">
        <f t="shared" si="14"/>
        <v>0.59696509470737524</v>
      </c>
      <c r="M46" s="1039">
        <f t="shared" si="15"/>
        <v>0.63872721087641937</v>
      </c>
      <c r="N46" s="1037">
        <f>IF('Mkt Pen Veh-Mi'!N45=0,$N$5,($N$5-SUMPRODUCT(O46:S46,'Mkt Pen Veh-Mi'!O45:S45))/'Mkt Pen Veh-Mi'!N45)</f>
        <v>0.35965003301135057</v>
      </c>
      <c r="O46" s="1038">
        <f t="shared" si="16"/>
        <v>0.40708885606527745</v>
      </c>
      <c r="P46" s="1038">
        <f t="shared" si="17"/>
        <v>0.40313123922838578</v>
      </c>
      <c r="Q46" s="1038">
        <f t="shared" si="18"/>
        <v>0</v>
      </c>
      <c r="R46" s="1038">
        <f t="shared" si="19"/>
        <v>0.3498246002139766</v>
      </c>
      <c r="S46" s="1039">
        <f t="shared" si="20"/>
        <v>0.36219997948489913</v>
      </c>
    </row>
    <row r="47" spans="1:19" x14ac:dyDescent="0.25">
      <c r="A47" s="1034">
        <v>2044</v>
      </c>
      <c r="B47" s="1037">
        <f>IF('Mkt Pen Veh-Mi'!B46=0,$B$5,($B$5-SUMPRODUCT(C47:G47,'Mkt Pen Veh-Mi'!C46:G46))/'Mkt Pen Veh-Mi'!B46)</f>
        <v>0.27962708033570427</v>
      </c>
      <c r="C47" s="1038">
        <f t="shared" si="6"/>
        <v>0.23471598107486435</v>
      </c>
      <c r="D47" s="1038">
        <f t="shared" si="7"/>
        <v>0.23409807191342941</v>
      </c>
      <c r="E47" s="1038">
        <f t="shared" si="8"/>
        <v>0</v>
      </c>
      <c r="F47" s="1038">
        <f t="shared" si="9"/>
        <v>0.12547137586570931</v>
      </c>
      <c r="G47" s="1039">
        <f t="shared" si="10"/>
        <v>0.17800868546715126</v>
      </c>
      <c r="H47" s="1037">
        <f>IF('Mkt Pen Veh-Mi'!H46=0,$H$5,($H$5-SUMPRODUCT(I47:M47,'Mkt Pen Veh-Mi'!I46:M46))/'Mkt Pen Veh-Mi'!H46)</f>
        <v>0.59392999394420876</v>
      </c>
      <c r="I47" s="1038">
        <f t="shared" si="11"/>
        <v>0.62352518607963714</v>
      </c>
      <c r="J47" s="1038">
        <f t="shared" si="12"/>
        <v>0.62232185156776287</v>
      </c>
      <c r="K47" s="1038">
        <f t="shared" si="13"/>
        <v>0.2792837248337337</v>
      </c>
      <c r="L47" s="1038">
        <f t="shared" si="14"/>
        <v>0.60561784863216006</v>
      </c>
      <c r="M47" s="1039">
        <f t="shared" si="15"/>
        <v>0.62376840674967116</v>
      </c>
      <c r="N47" s="1037">
        <f>IF('Mkt Pen Veh-Mi'!N46=0,$N$5,($N$5-SUMPRODUCT(O47:S47,'Mkt Pen Veh-Mi'!O46:S46))/'Mkt Pen Veh-Mi'!N46)</f>
        <v>0.39373254860784412</v>
      </c>
      <c r="O47" s="1038">
        <f t="shared" si="16"/>
        <v>0.4048342336218706</v>
      </c>
      <c r="P47" s="1038">
        <f t="shared" si="17"/>
        <v>0.39921529992617333</v>
      </c>
      <c r="Q47" s="1038">
        <f t="shared" si="18"/>
        <v>0.31523441292513105</v>
      </c>
      <c r="R47" s="1038">
        <f t="shared" si="19"/>
        <v>0.38040872791492081</v>
      </c>
      <c r="S47" s="1039">
        <f t="shared" si="20"/>
        <v>0.38251754161842472</v>
      </c>
    </row>
    <row r="48" spans="1:19" x14ac:dyDescent="0.25">
      <c r="A48" s="1040">
        <v>2045</v>
      </c>
      <c r="B48" s="1041">
        <f>IF('Mkt Pen Veh-Mi'!B47=0,$B$5,($B$5-SUMPRODUCT(C48:G48,'Mkt Pen Veh-Mi'!C47:G47))/'Mkt Pen Veh-Mi'!B47)</f>
        <v>0.30851587135924635</v>
      </c>
      <c r="C48" s="1042">
        <f t="shared" si="6"/>
        <v>0.23980031103454474</v>
      </c>
      <c r="D48" s="1042">
        <f t="shared" si="7"/>
        <v>0.23916420091454837</v>
      </c>
      <c r="E48" s="1042">
        <f t="shared" si="8"/>
        <v>9.6623559847528045E-2</v>
      </c>
      <c r="F48" s="1042">
        <f t="shared" si="9"/>
        <v>0.17180734126681035</v>
      </c>
      <c r="G48" s="1043">
        <f t="shared" si="10"/>
        <v>0.18049191133347753</v>
      </c>
      <c r="H48" s="1041">
        <f>IF('Mkt Pen Veh-Mi'!H47=0,$H$5,($H$5-SUMPRODUCT(I48:M48,'Mkt Pen Veh-Mi'!I47:M47))/'Mkt Pen Veh-Mi'!H47)</f>
        <v>0.59840614633867406</v>
      </c>
      <c r="I48" s="1042">
        <f t="shared" si="11"/>
        <v>0.62227714267378875</v>
      </c>
      <c r="J48" s="1042">
        <f t="shared" si="12"/>
        <v>0.62335961104606308</v>
      </c>
      <c r="K48" s="1042">
        <f t="shared" si="13"/>
        <v>0.47770085287195663</v>
      </c>
      <c r="L48" s="1042">
        <f t="shared" si="14"/>
        <v>0.60926335260537912</v>
      </c>
      <c r="M48" s="1043">
        <f t="shared" si="15"/>
        <v>0.62197969342491521</v>
      </c>
      <c r="N48" s="1041">
        <f>IF('Mkt Pen Veh-Mi'!N47=0,$N$5,($N$5-SUMPRODUCT(O48:S48,'Mkt Pen Veh-Mi'!O47:S47))/'Mkt Pen Veh-Mi'!N47)</f>
        <v>0.26650420646085804</v>
      </c>
      <c r="O48" s="1042">
        <f t="shared" si="16"/>
        <v>0.40443854992058414</v>
      </c>
      <c r="P48" s="1042">
        <f t="shared" si="17"/>
        <v>0.40006469258452942</v>
      </c>
      <c r="Q48" s="1042">
        <f t="shared" si="18"/>
        <v>0.42274825625662016</v>
      </c>
      <c r="R48" s="1042">
        <f t="shared" si="19"/>
        <v>0.38796768311083707</v>
      </c>
      <c r="S48" s="1043">
        <f t="shared" si="20"/>
        <v>0.38533135977550304</v>
      </c>
    </row>
    <row r="49" spans="1:19" x14ac:dyDescent="0.25">
      <c r="A49" s="1034">
        <v>2046</v>
      </c>
      <c r="B49" s="1044">
        <f>IF('Mkt Pen Veh-Mi'!B48=0,$B$5,($B$5-SUMPRODUCT(C49:G49,'Mkt Pen Veh-Mi'!C48:G48))/'Mkt Pen Veh-Mi'!B48)</f>
        <v>0.2802608951128136</v>
      </c>
      <c r="C49" s="1045">
        <f t="shared" si="6"/>
        <v>0.2423544263117362</v>
      </c>
      <c r="D49" s="1045">
        <f t="shared" si="7"/>
        <v>0.24173975056932234</v>
      </c>
      <c r="E49" s="1045">
        <f t="shared" si="8"/>
        <v>0.16552972028699861</v>
      </c>
      <c r="F49" s="1045">
        <f t="shared" si="9"/>
        <v>0.19576702306792518</v>
      </c>
      <c r="G49" s="1046">
        <f t="shared" si="10"/>
        <v>0.19911538581265009</v>
      </c>
      <c r="H49" s="1044">
        <f>IF('Mkt Pen Veh-Mi'!H48=0,$H$5,($H$5-SUMPRODUCT(I49:M49,'Mkt Pen Veh-Mi'!I48:M48))/'Mkt Pen Veh-Mi'!H48)</f>
        <v>0.601577044546865</v>
      </c>
      <c r="I49" s="1045">
        <f t="shared" si="11"/>
        <v>0.62262989038362626</v>
      </c>
      <c r="J49" s="1045">
        <f t="shared" si="12"/>
        <v>0.62251810410267627</v>
      </c>
      <c r="K49" s="1045">
        <f t="shared" si="13"/>
        <v>0.52118358574369206</v>
      </c>
      <c r="L49" s="1045">
        <f t="shared" si="14"/>
        <v>0.61483001875614196</v>
      </c>
      <c r="M49" s="1046">
        <f t="shared" si="15"/>
        <v>0.61910422532806297</v>
      </c>
      <c r="N49" s="1044">
        <f>IF('Mkt Pen Veh-Mi'!N48=0,$N$5,($N$5-SUMPRODUCT(O49:S49,'Mkt Pen Veh-Mi'!O48:S48))/'Mkt Pen Veh-Mi'!N48)</f>
        <v>0.39932829612758242</v>
      </c>
      <c r="O49" s="1045">
        <f t="shared" si="16"/>
        <v>0.40407571685778038</v>
      </c>
      <c r="P49" s="1045">
        <f t="shared" si="17"/>
        <v>0.39906949753070753</v>
      </c>
      <c r="Q49" s="1045">
        <f t="shared" si="18"/>
        <v>0.4079021125396643</v>
      </c>
      <c r="R49" s="1045">
        <f t="shared" si="19"/>
        <v>0.38936034417143495</v>
      </c>
      <c r="S49" s="1046">
        <f t="shared" si="20"/>
        <v>0.39047057175055377</v>
      </c>
    </row>
    <row r="50" spans="1:19" x14ac:dyDescent="0.25">
      <c r="A50" s="1034">
        <v>2047</v>
      </c>
      <c r="B50" s="1037">
        <f>IF('Mkt Pen Veh-Mi'!B49=0,$B$5,($B$5-SUMPRODUCT(C50:G50,'Mkt Pen Veh-Mi'!C49:G49))/'Mkt Pen Veh-Mi'!B49)</f>
        <v>0.30535273980675692</v>
      </c>
      <c r="C50" s="1038">
        <f t="shared" si="6"/>
        <v>0.24020830757990189</v>
      </c>
      <c r="D50" s="1038">
        <f t="shared" si="7"/>
        <v>0.2407124181777065</v>
      </c>
      <c r="E50" s="1038">
        <f t="shared" si="8"/>
        <v>0.18200086190595374</v>
      </c>
      <c r="F50" s="1038">
        <f t="shared" si="9"/>
        <v>0.20992083967584563</v>
      </c>
      <c r="G50" s="1039">
        <f t="shared" si="10"/>
        <v>0.2128270589717314</v>
      </c>
      <c r="H50" s="1037">
        <f>IF('Mkt Pen Veh-Mi'!H49=0,$H$5,($H$5-SUMPRODUCT(I50:M50,'Mkt Pen Veh-Mi'!I49:M49))/'Mkt Pen Veh-Mi'!H49)</f>
        <v>0.6014303315130678</v>
      </c>
      <c r="I50" s="1038">
        <f t="shared" si="11"/>
        <v>0.62375055174019767</v>
      </c>
      <c r="J50" s="1038">
        <f t="shared" si="12"/>
        <v>0.62163777190427183</v>
      </c>
      <c r="K50" s="1038">
        <f t="shared" si="13"/>
        <v>0.5332338954500484</v>
      </c>
      <c r="L50" s="1038">
        <f t="shared" si="14"/>
        <v>0.61909625786084532</v>
      </c>
      <c r="M50" s="1039">
        <f t="shared" si="15"/>
        <v>0.61941544457441711</v>
      </c>
      <c r="N50" s="1037">
        <f>IF('Mkt Pen Veh-Mi'!N49=0,$N$5,($N$5-SUMPRODUCT(O50:S50,'Mkt Pen Veh-Mi'!O49:S49))/'Mkt Pen Veh-Mi'!N49)</f>
        <v>0.39932829612758824</v>
      </c>
      <c r="O50" s="1038">
        <f t="shared" si="16"/>
        <v>0.40392617578674117</v>
      </c>
      <c r="P50" s="1038">
        <f t="shared" si="17"/>
        <v>0.39926483246132655</v>
      </c>
      <c r="Q50" s="1038">
        <f t="shared" si="18"/>
        <v>0.40260789008353293</v>
      </c>
      <c r="R50" s="1038">
        <f t="shared" si="19"/>
        <v>0.38959358387106929</v>
      </c>
      <c r="S50" s="1039">
        <f t="shared" si="20"/>
        <v>0.3941001775493771</v>
      </c>
    </row>
    <row r="51" spans="1:19" x14ac:dyDescent="0.25">
      <c r="A51" s="1034">
        <v>2048</v>
      </c>
      <c r="B51" s="1037">
        <f>IF('Mkt Pen Veh-Mi'!B50=0,$B$5,($B$5-SUMPRODUCT(C51:G51,'Mkt Pen Veh-Mi'!C50:G50))/'Mkt Pen Veh-Mi'!B50)</f>
        <v>0.28894403098247096</v>
      </c>
      <c r="C51" s="1038">
        <f t="shared" si="6"/>
        <v>0.23960920179974537</v>
      </c>
      <c r="D51" s="1038">
        <f t="shared" si="7"/>
        <v>0.23924791944795853</v>
      </c>
      <c r="E51" s="1038">
        <f t="shared" si="8"/>
        <v>0.19950757069271954</v>
      </c>
      <c r="F51" s="1038">
        <f t="shared" si="9"/>
        <v>0.21663861637706228</v>
      </c>
      <c r="G51" s="1039">
        <f t="shared" si="10"/>
        <v>0.2167310442401259</v>
      </c>
      <c r="H51" s="1037">
        <f>IF('Mkt Pen Veh-Mi'!H50=0,$H$5,($H$5-SUMPRODUCT(I51:M51,'Mkt Pen Veh-Mi'!I50:M50))/'Mkt Pen Veh-Mi'!H50)</f>
        <v>0.60502745331788099</v>
      </c>
      <c r="I51" s="1038">
        <f t="shared" si="11"/>
        <v>0.62023395905201217</v>
      </c>
      <c r="J51" s="1038">
        <f t="shared" si="12"/>
        <v>0.62228954817387128</v>
      </c>
      <c r="K51" s="1038">
        <f t="shared" si="13"/>
        <v>0.54607162614240801</v>
      </c>
      <c r="L51" s="1038">
        <f t="shared" si="14"/>
        <v>0.61648983099245991</v>
      </c>
      <c r="M51" s="1039">
        <f t="shared" si="15"/>
        <v>0.62149510020414966</v>
      </c>
      <c r="N51" s="1037">
        <f>IF('Mkt Pen Veh-Mi'!N50=0,$N$5,($N$5-SUMPRODUCT(O51:S51,'Mkt Pen Veh-Mi'!O50:S50))/'Mkt Pen Veh-Mi'!N50)</f>
        <v>0.3993282961288992</v>
      </c>
      <c r="O51" s="1038">
        <f t="shared" si="16"/>
        <v>0.40123450658896853</v>
      </c>
      <c r="P51" s="1038">
        <f t="shared" si="17"/>
        <v>0.40005453109500921</v>
      </c>
      <c r="Q51" s="1038">
        <f t="shared" si="18"/>
        <v>0.40356986874781897</v>
      </c>
      <c r="R51" s="1038">
        <f t="shared" si="19"/>
        <v>0.39632005238878237</v>
      </c>
      <c r="S51" s="1039">
        <f t="shared" si="20"/>
        <v>0.39305877180011017</v>
      </c>
    </row>
    <row r="52" spans="1:19" x14ac:dyDescent="0.25">
      <c r="A52" s="1034">
        <v>2049</v>
      </c>
      <c r="B52" s="1037">
        <f>IF('Mkt Pen Veh-Mi'!B51=0,$B$5,($B$5-SUMPRODUCT(C52:G52,'Mkt Pen Veh-Mi'!C51:G51))/'Mkt Pen Veh-Mi'!B51)</f>
        <v>0.28848500635660385</v>
      </c>
      <c r="C52" s="1038">
        <f t="shared" si="6"/>
        <v>0.23876120694906003</v>
      </c>
      <c r="D52" s="1038">
        <f t="shared" si="7"/>
        <v>0.23888966904588385</v>
      </c>
      <c r="E52" s="1038">
        <f t="shared" si="8"/>
        <v>0.20382237277453169</v>
      </c>
      <c r="F52" s="1038">
        <f t="shared" si="9"/>
        <v>0.22035134963025921</v>
      </c>
      <c r="G52" s="1039">
        <f t="shared" si="10"/>
        <v>0.21746741131494696</v>
      </c>
      <c r="H52" s="1037">
        <f>IF('Mkt Pen Veh-Mi'!H51=0,$H$5,($H$5-SUMPRODUCT(I52:M52,'Mkt Pen Veh-Mi'!I51:M51))/'Mkt Pen Veh-Mi'!H51)</f>
        <v>0.59975079061702552</v>
      </c>
      <c r="I52" s="1038">
        <f t="shared" si="11"/>
        <v>0.62256561227656559</v>
      </c>
      <c r="J52" s="1038">
        <f t="shared" si="12"/>
        <v>0.62367086984940978</v>
      </c>
      <c r="K52" s="1038">
        <f t="shared" si="13"/>
        <v>0.55030249575257584</v>
      </c>
      <c r="L52" s="1038">
        <f t="shared" si="14"/>
        <v>0.61904393889954923</v>
      </c>
      <c r="M52" s="1039">
        <f t="shared" si="15"/>
        <v>0.62168278959206036</v>
      </c>
      <c r="N52" s="1037">
        <f>IF('Mkt Pen Veh-Mi'!N51=0,$N$5,($N$5-SUMPRODUCT(O52:S52,'Mkt Pen Veh-Mi'!O51:S51))/'Mkt Pen Veh-Mi'!N51)</f>
        <v>0.39932829613678172</v>
      </c>
      <c r="O52" s="1038">
        <f t="shared" si="16"/>
        <v>0.40339146234174955</v>
      </c>
      <c r="P52" s="1038">
        <f t="shared" si="17"/>
        <v>0.39900356118571939</v>
      </c>
      <c r="Q52" s="1038">
        <f t="shared" si="18"/>
        <v>0.39881120740932868</v>
      </c>
      <c r="R52" s="1038">
        <f t="shared" si="19"/>
        <v>0.39670470105402916</v>
      </c>
      <c r="S52" s="1039">
        <f t="shared" si="20"/>
        <v>0.39360206079978344</v>
      </c>
    </row>
    <row r="53" spans="1:19" ht="15.75" thickBot="1" x14ac:dyDescent="0.3">
      <c r="A53" s="1047">
        <v>2050</v>
      </c>
      <c r="B53" s="1048">
        <f>IF('Mkt Pen Veh-Mi'!B52=0,$B$5,($B$5-SUMPRODUCT(C53:G53,'Mkt Pen Veh-Mi'!C52:G52))/'Mkt Pen Veh-Mi'!B52)</f>
        <v>0.28773270428215125</v>
      </c>
      <c r="C53" s="1049">
        <f t="shared" si="6"/>
        <v>0.23598047644890099</v>
      </c>
      <c r="D53" s="1049">
        <f t="shared" si="7"/>
        <v>0.23623943368365316</v>
      </c>
      <c r="E53" s="1049">
        <f t="shared" si="8"/>
        <v>0.21251353506989681</v>
      </c>
      <c r="F53" s="1049">
        <f t="shared" si="9"/>
        <v>0.22461479649723748</v>
      </c>
      <c r="G53" s="1050">
        <f t="shared" si="10"/>
        <v>0.22125609472480678</v>
      </c>
      <c r="H53" s="1048">
        <f>IF('Mkt Pen Veh-Mi'!H52=0,$H$5,($H$5-SUMPRODUCT(I53:M53,'Mkt Pen Veh-Mi'!I52:M52))/'Mkt Pen Veh-Mi'!H52)</f>
        <v>0.60109078622279932</v>
      </c>
      <c r="I53" s="1049">
        <f t="shared" si="11"/>
        <v>0.62168052048664435</v>
      </c>
      <c r="J53" s="1049">
        <f t="shared" si="12"/>
        <v>0.62340626322574011</v>
      </c>
      <c r="K53" s="1049">
        <f t="shared" si="13"/>
        <v>0.55783824604630561</v>
      </c>
      <c r="L53" s="1049">
        <f t="shared" si="14"/>
        <v>0.62053777192913662</v>
      </c>
      <c r="M53" s="1050">
        <f t="shared" si="15"/>
        <v>0.62011965668587476</v>
      </c>
      <c r="N53" s="1048">
        <f>IF('Mkt Pen Veh-Mi'!N52=0,$N$5,($N$5-SUMPRODUCT(O53:S53,'Mkt Pen Veh-Mi'!O52:S52))/'Mkt Pen Veh-Mi'!N52)</f>
        <v>0.39932829613280391</v>
      </c>
      <c r="O53" s="1049">
        <f t="shared" si="16"/>
        <v>0.40139204997047911</v>
      </c>
      <c r="P53" s="1049">
        <f t="shared" si="17"/>
        <v>0.39751329353931542</v>
      </c>
      <c r="Q53" s="1049">
        <f t="shared" si="18"/>
        <v>0.4025564889044474</v>
      </c>
      <c r="R53" s="1049">
        <f t="shared" si="19"/>
        <v>0.40119367855319116</v>
      </c>
      <c r="S53" s="1050">
        <f t="shared" si="20"/>
        <v>0.39443013847704839</v>
      </c>
    </row>
    <row r="55" spans="1:19" x14ac:dyDescent="0.25">
      <c r="K55" s="1019">
        <f>MATCH($A53,$A$10:$A$53,0)</f>
        <v>44</v>
      </c>
    </row>
    <row r="56" spans="1:19" x14ac:dyDescent="0.25">
      <c r="K56" s="1019">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topLeftCell="A4" zoomScale="70" zoomScaleNormal="70" workbookViewId="0">
      <selection activeCell="B8" sqref="B8"/>
    </sheetView>
  </sheetViews>
  <sheetFormatPr defaultColWidth="9.140625" defaultRowHeight="15" x14ac:dyDescent="0.25"/>
  <cols>
    <col min="1" max="1" width="9.140625" style="1019"/>
    <col min="2" max="19" width="13.5703125" style="1019" customWidth="1"/>
    <col min="20" max="16384" width="9.140625" style="1019"/>
  </cols>
  <sheetData>
    <row r="1" spans="1:19" ht="15.75" x14ac:dyDescent="0.25">
      <c r="A1" s="1051" t="s">
        <v>312</v>
      </c>
    </row>
    <row r="3" spans="1:19" ht="15.75" thickBot="1" x14ac:dyDescent="0.3"/>
    <row r="4" spans="1:19" x14ac:dyDescent="0.25">
      <c r="A4" s="1020"/>
      <c r="B4" s="1596" t="s">
        <v>249</v>
      </c>
      <c r="C4" s="1597"/>
      <c r="D4" s="1597"/>
      <c r="E4" s="1597"/>
      <c r="F4" s="1597"/>
      <c r="G4" s="1598"/>
      <c r="H4" s="1596" t="s">
        <v>250</v>
      </c>
      <c r="I4" s="1597"/>
      <c r="J4" s="1597"/>
      <c r="K4" s="1597"/>
      <c r="L4" s="1597"/>
      <c r="M4" s="1598"/>
      <c r="N4" s="1596" t="s">
        <v>154</v>
      </c>
      <c r="O4" s="1597"/>
      <c r="P4" s="1597"/>
      <c r="Q4" s="1597"/>
      <c r="R4" s="1597"/>
      <c r="S4" s="1598"/>
    </row>
    <row r="5" spans="1:19" x14ac:dyDescent="0.25">
      <c r="A5" s="1021"/>
      <c r="B5" s="1599" t="s">
        <v>129</v>
      </c>
      <c r="C5" s="1600"/>
      <c r="D5" s="1600"/>
      <c r="E5" s="1600"/>
      <c r="F5" s="1600"/>
      <c r="G5" s="1601"/>
      <c r="H5" s="1599" t="s">
        <v>129</v>
      </c>
      <c r="I5" s="1600"/>
      <c r="J5" s="1600"/>
      <c r="K5" s="1600"/>
      <c r="L5" s="1600"/>
      <c r="M5" s="1601"/>
      <c r="N5" s="1599" t="s">
        <v>129</v>
      </c>
      <c r="O5" s="1600"/>
      <c r="P5" s="1600"/>
      <c r="Q5" s="1600"/>
      <c r="R5" s="1600"/>
      <c r="S5" s="1601"/>
    </row>
    <row r="6" spans="1:19" x14ac:dyDescent="0.25">
      <c r="A6" s="1021"/>
      <c r="B6" s="1022" t="s">
        <v>69</v>
      </c>
      <c r="C6" s="1023" t="s">
        <v>65</v>
      </c>
      <c r="D6" s="1023" t="s">
        <v>66</v>
      </c>
      <c r="E6" s="1023" t="s">
        <v>67</v>
      </c>
      <c r="F6" s="1023" t="s">
        <v>205</v>
      </c>
      <c r="G6" s="1024" t="s">
        <v>206</v>
      </c>
      <c r="H6" s="1022" t="s">
        <v>69</v>
      </c>
      <c r="I6" s="1023" t="s">
        <v>65</v>
      </c>
      <c r="J6" s="1023" t="s">
        <v>66</v>
      </c>
      <c r="K6" s="1023" t="s">
        <v>67</v>
      </c>
      <c r="L6" s="1023" t="s">
        <v>205</v>
      </c>
      <c r="M6" s="1024" t="s">
        <v>206</v>
      </c>
      <c r="N6" s="1022" t="s">
        <v>69</v>
      </c>
      <c r="O6" s="1023" t="s">
        <v>65</v>
      </c>
      <c r="P6" s="1023" t="s">
        <v>66</v>
      </c>
      <c r="Q6" s="1023" t="s">
        <v>67</v>
      </c>
      <c r="R6" s="1023" t="s">
        <v>205</v>
      </c>
      <c r="S6" s="1024" t="s">
        <v>206</v>
      </c>
    </row>
    <row r="7" spans="1:19" ht="30" x14ac:dyDescent="0.25">
      <c r="A7" s="1025"/>
      <c r="B7" s="1026" t="str">
        <f t="shared" ref="B7:G7" si="0">INDEX(TECH_OPT_DESC_Cls1,MATCH(B6,TECH_OPT_ROWS_Cls1,0))</f>
        <v>Conventional Diesel ICE</v>
      </c>
      <c r="C7" s="1027" t="str">
        <f t="shared" si="0"/>
        <v>Adv Conv</v>
      </c>
      <c r="D7" s="1027" t="str">
        <f t="shared" si="0"/>
        <v>HEV</v>
      </c>
      <c r="E7" s="1027" t="str">
        <f t="shared" si="0"/>
        <v>BEV</v>
      </c>
      <c r="F7" s="1027" t="str">
        <f t="shared" si="0"/>
        <v>FCEV</v>
      </c>
      <c r="G7" s="1028" t="str">
        <f t="shared" si="0"/>
        <v>PHEV</v>
      </c>
      <c r="H7" s="1026" t="str">
        <f t="shared" ref="H7:M7" si="1">INDEX(TECH_OPT_DESC_Cls2,MATCH(H6,TECH_OPT_ROWS_Cls2,0))</f>
        <v>Conventional Diesel ICE</v>
      </c>
      <c r="I7" s="1027" t="str">
        <f t="shared" si="1"/>
        <v>Adv Conv</v>
      </c>
      <c r="J7" s="1027" t="str">
        <f t="shared" si="1"/>
        <v>HEV</v>
      </c>
      <c r="K7" s="1027" t="str">
        <f t="shared" si="1"/>
        <v>BEV</v>
      </c>
      <c r="L7" s="1027" t="str">
        <f t="shared" si="1"/>
        <v>FCEV</v>
      </c>
      <c r="M7" s="1028" t="str">
        <f t="shared" si="1"/>
        <v>PHEV</v>
      </c>
      <c r="N7" s="1026" t="str">
        <f t="shared" ref="N7:S7" si="2">INDEX(TECH_OPT_DESC_Cls3,MATCH(N6,TECH_OPT_ROWS_Cls3,0))</f>
        <v>Conventional Diesel ICE</v>
      </c>
      <c r="O7" s="1027" t="str">
        <f t="shared" si="2"/>
        <v>Adv Conv</v>
      </c>
      <c r="P7" s="1027" t="str">
        <f t="shared" si="2"/>
        <v>HEV</v>
      </c>
      <c r="Q7" s="1027" t="str">
        <f t="shared" si="2"/>
        <v>BEV</v>
      </c>
      <c r="R7" s="1027" t="str">
        <f t="shared" si="2"/>
        <v>FCEV</v>
      </c>
      <c r="S7" s="1028" t="str">
        <f t="shared" si="2"/>
        <v>PHEV</v>
      </c>
    </row>
    <row r="8" spans="1:19" x14ac:dyDescent="0.25">
      <c r="A8" s="1025" t="s">
        <v>311</v>
      </c>
      <c r="B8" s="1066" t="str">
        <f t="shared" ref="B8:G8" si="3">INDEX(TECH_OPT_FUEL2_Cls1,MATCH(B6,TECH_OPT_ROWS_Cls1,0))</f>
        <v>N/A</v>
      </c>
      <c r="C8" s="1067" t="str">
        <f t="shared" si="3"/>
        <v>N/A</v>
      </c>
      <c r="D8" s="1067" t="str">
        <f t="shared" si="3"/>
        <v>N/A</v>
      </c>
      <c r="E8" s="1067" t="str">
        <f t="shared" si="3"/>
        <v>N/A</v>
      </c>
      <c r="F8" s="1067" t="str">
        <f t="shared" si="3"/>
        <v>N/A</v>
      </c>
      <c r="G8" s="1068" t="str">
        <f t="shared" si="3"/>
        <v>Electricity</v>
      </c>
      <c r="H8" s="1066" t="str">
        <f t="shared" ref="H8:M8" si="4">INDEX(TECH_OPT_FUEL2_Cls2,MATCH(H6,TECH_OPT_ROWS_Cls2,0))</f>
        <v>N/A</v>
      </c>
      <c r="I8" s="1067" t="str">
        <f t="shared" si="4"/>
        <v>N/A</v>
      </c>
      <c r="J8" s="1067" t="str">
        <f t="shared" si="4"/>
        <v>N/A</v>
      </c>
      <c r="K8" s="1067" t="str">
        <f t="shared" si="4"/>
        <v>N/A</v>
      </c>
      <c r="L8" s="1067" t="str">
        <f t="shared" si="4"/>
        <v>N/A</v>
      </c>
      <c r="M8" s="1068" t="str">
        <f t="shared" si="4"/>
        <v>Electricity</v>
      </c>
      <c r="N8" s="1066" t="str">
        <f t="shared" ref="N8:S8" si="5">INDEX(TECH_OPT_FUEL2_Cls3,MATCH(N6,TECH_OPT_ROWS_Cls3,0))</f>
        <v>N/A</v>
      </c>
      <c r="O8" s="1067" t="str">
        <f t="shared" si="5"/>
        <v>N/A</v>
      </c>
      <c r="P8" s="1067" t="str">
        <f t="shared" si="5"/>
        <v>N/A</v>
      </c>
      <c r="Q8" s="1067" t="str">
        <f t="shared" si="5"/>
        <v>N/A</v>
      </c>
      <c r="R8" s="1067" t="str">
        <f t="shared" si="5"/>
        <v>N/A</v>
      </c>
      <c r="S8" s="1068" t="str">
        <f t="shared" si="5"/>
        <v>Electricity</v>
      </c>
    </row>
    <row r="9" spans="1:19" ht="15.75" thickBot="1" x14ac:dyDescent="0.3">
      <c r="A9" s="1029" t="s">
        <v>3</v>
      </c>
      <c r="B9" s="1030" t="str">
        <f t="shared" ref="B9:G9" si="6">INDEX(TECH_OPT_FUEL1_Cls1,MATCH(B6,TECH_OPT_ROWS_Cls1,0))</f>
        <v>Diesel</v>
      </c>
      <c r="C9" s="1031" t="str">
        <f t="shared" si="6"/>
        <v>Diesel</v>
      </c>
      <c r="D9" s="1031" t="str">
        <f t="shared" si="6"/>
        <v>Diesel</v>
      </c>
      <c r="E9" s="1031" t="str">
        <f t="shared" si="6"/>
        <v>Electricity</v>
      </c>
      <c r="F9" s="1031" t="str">
        <f t="shared" si="6"/>
        <v>Hydrogen</v>
      </c>
      <c r="G9" s="1032" t="str">
        <f t="shared" si="6"/>
        <v>Diesel</v>
      </c>
      <c r="H9" s="1033" t="str">
        <f t="shared" ref="H9:M9" si="7">INDEX(TECH_OPT_FUEL1_Cls2,MATCH(H6,TECH_OPT_ROWS_Cls2,0))</f>
        <v>Diesel</v>
      </c>
      <c r="I9" s="1031" t="str">
        <f t="shared" si="7"/>
        <v>Diesel</v>
      </c>
      <c r="J9" s="1031" t="str">
        <f t="shared" si="7"/>
        <v>Diesel</v>
      </c>
      <c r="K9" s="1031" t="str">
        <f t="shared" si="7"/>
        <v>Electricity</v>
      </c>
      <c r="L9" s="1031" t="str">
        <f t="shared" si="7"/>
        <v>Hydrogen</v>
      </c>
      <c r="M9" s="1032" t="str">
        <f t="shared" si="7"/>
        <v>Diesel</v>
      </c>
      <c r="N9" s="1030" t="str">
        <f t="shared" ref="N9:S9" si="8">INDEX(TECH_OPT_FUEL1_Cls3,MATCH(N6,TECH_OPT_ROWS_Cls3,0))</f>
        <v>Diesel</v>
      </c>
      <c r="O9" s="1031" t="str">
        <f t="shared" si="8"/>
        <v>Diesel</v>
      </c>
      <c r="P9" s="1031" t="str">
        <f t="shared" si="8"/>
        <v>Diesel</v>
      </c>
      <c r="Q9" s="1031" t="str">
        <f t="shared" si="8"/>
        <v>Electricity</v>
      </c>
      <c r="R9" s="1031" t="str">
        <f t="shared" si="8"/>
        <v>Hydrogen</v>
      </c>
      <c r="S9" s="1032" t="str">
        <f t="shared" si="8"/>
        <v>Diesel</v>
      </c>
    </row>
    <row r="10" spans="1:19" ht="15.75" thickTop="1" x14ac:dyDescent="0.25">
      <c r="A10" s="1034">
        <v>2007</v>
      </c>
      <c r="B10" s="1035">
        <v>0</v>
      </c>
      <c r="C10" s="1036">
        <f>'7&amp;8 Sleep'!AD76</f>
        <v>0</v>
      </c>
      <c r="D10" s="1036">
        <f>'7&amp;8 Sleep'!AD128</f>
        <v>0</v>
      </c>
      <c r="E10" s="1036">
        <f>'7&amp;8 Sleep'!AD180</f>
        <v>0</v>
      </c>
      <c r="F10" s="1036">
        <f>'7&amp;8 Sleep'!AD233</f>
        <v>0</v>
      </c>
      <c r="G10" s="1061">
        <f>'7&amp;8 Sleep'!AD286</f>
        <v>0</v>
      </c>
      <c r="H10" s="1035">
        <v>0</v>
      </c>
      <c r="I10" s="1036">
        <f>'7&amp;8 Day'!AD76</f>
        <v>0</v>
      </c>
      <c r="J10" s="1036">
        <f>'7&amp;8 Day'!AD128</f>
        <v>0</v>
      </c>
      <c r="K10" s="1036">
        <f>'7&amp;8 Day'!AD180</f>
        <v>0</v>
      </c>
      <c r="L10" s="1036">
        <f>'7&amp;8 Day'!AD233</f>
        <v>0</v>
      </c>
      <c r="M10" s="1062">
        <f>'7&amp;8 Day'!AD286</f>
        <v>0</v>
      </c>
      <c r="N10" s="1035">
        <v>0</v>
      </c>
      <c r="O10" s="1036">
        <f>'7&amp;8 SU'!AD76</f>
        <v>0</v>
      </c>
      <c r="P10" s="1036">
        <f>'7&amp;8 SU'!AD128</f>
        <v>0</v>
      </c>
      <c r="Q10" s="1036">
        <f>'7&amp;8 SU'!AD180</f>
        <v>0</v>
      </c>
      <c r="R10" s="1036">
        <f>'7&amp;8 SU'!AD233</f>
        <v>0</v>
      </c>
      <c r="S10" s="1062">
        <f>'7&amp;8 SU'!AD286</f>
        <v>0</v>
      </c>
    </row>
    <row r="11" spans="1:19" x14ac:dyDescent="0.25">
      <c r="A11" s="1034">
        <v>2008</v>
      </c>
      <c r="B11" s="1037">
        <v>0</v>
      </c>
      <c r="C11" s="1038">
        <f>'7&amp;8 Sleep'!AD77</f>
        <v>0</v>
      </c>
      <c r="D11" s="1038">
        <f>'7&amp;8 Sleep'!AD129</f>
        <v>0</v>
      </c>
      <c r="E11" s="1038">
        <f>'7&amp;8 Sleep'!AD181</f>
        <v>0</v>
      </c>
      <c r="F11" s="1038">
        <f>'7&amp;8 Sleep'!AD234</f>
        <v>0</v>
      </c>
      <c r="G11" s="1039">
        <f>'7&amp;8 Sleep'!AD287</f>
        <v>0</v>
      </c>
      <c r="H11" s="1037">
        <v>0</v>
      </c>
      <c r="I11" s="1038">
        <f>'7&amp;8 Day'!AD77</f>
        <v>0</v>
      </c>
      <c r="J11" s="1038">
        <f>'7&amp;8 Day'!AD129</f>
        <v>0</v>
      </c>
      <c r="K11" s="1038">
        <f>'7&amp;8 Day'!AD181</f>
        <v>0</v>
      </c>
      <c r="L11" s="1038">
        <f>'7&amp;8 Day'!AD234</f>
        <v>0</v>
      </c>
      <c r="M11" s="1039">
        <f>'7&amp;8 Day'!AD287</f>
        <v>0</v>
      </c>
      <c r="N11" s="1037">
        <v>0</v>
      </c>
      <c r="O11" s="1038">
        <f>'7&amp;8 SU'!AD77</f>
        <v>0</v>
      </c>
      <c r="P11" s="1038">
        <f>'7&amp;8 SU'!AD129</f>
        <v>0</v>
      </c>
      <c r="Q11" s="1038">
        <f>'7&amp;8 SU'!AD181</f>
        <v>0</v>
      </c>
      <c r="R11" s="1038">
        <f>'7&amp;8 SU'!AD234</f>
        <v>0</v>
      </c>
      <c r="S11" s="1039">
        <f>'7&amp;8 SU'!AD287</f>
        <v>0</v>
      </c>
    </row>
    <row r="12" spans="1:19" x14ac:dyDescent="0.25">
      <c r="A12" s="1034">
        <v>2009</v>
      </c>
      <c r="B12" s="1037">
        <v>0</v>
      </c>
      <c r="C12" s="1038">
        <f>'7&amp;8 Sleep'!AD78</f>
        <v>0</v>
      </c>
      <c r="D12" s="1038">
        <f>'7&amp;8 Sleep'!AD130</f>
        <v>0</v>
      </c>
      <c r="E12" s="1038">
        <f>'7&amp;8 Sleep'!AD182</f>
        <v>0</v>
      </c>
      <c r="F12" s="1038">
        <f>'7&amp;8 Sleep'!AD235</f>
        <v>0</v>
      </c>
      <c r="G12" s="1039">
        <f>'7&amp;8 Sleep'!AD288</f>
        <v>0</v>
      </c>
      <c r="H12" s="1037">
        <v>0</v>
      </c>
      <c r="I12" s="1038">
        <f>'7&amp;8 Day'!AD78</f>
        <v>0</v>
      </c>
      <c r="J12" s="1038">
        <f>'7&amp;8 Day'!AD130</f>
        <v>0</v>
      </c>
      <c r="K12" s="1038">
        <f>'7&amp;8 Day'!AD182</f>
        <v>0</v>
      </c>
      <c r="L12" s="1038">
        <f>'7&amp;8 Day'!AD235</f>
        <v>0</v>
      </c>
      <c r="M12" s="1039">
        <f>'7&amp;8 Day'!AD288</f>
        <v>0</v>
      </c>
      <c r="N12" s="1037">
        <v>0</v>
      </c>
      <c r="O12" s="1038">
        <f>'7&amp;8 SU'!AD78</f>
        <v>0</v>
      </c>
      <c r="P12" s="1038">
        <f>'7&amp;8 SU'!AD130</f>
        <v>0</v>
      </c>
      <c r="Q12" s="1038">
        <f>'7&amp;8 SU'!AD182</f>
        <v>0</v>
      </c>
      <c r="R12" s="1038">
        <f>'7&amp;8 SU'!AD235</f>
        <v>0</v>
      </c>
      <c r="S12" s="1039">
        <f>'7&amp;8 SU'!AD288</f>
        <v>0</v>
      </c>
    </row>
    <row r="13" spans="1:19" x14ac:dyDescent="0.25">
      <c r="A13" s="1040">
        <v>2010</v>
      </c>
      <c r="B13" s="1041">
        <v>0</v>
      </c>
      <c r="C13" s="1042">
        <f>'7&amp;8 Sleep'!AD79</f>
        <v>0</v>
      </c>
      <c r="D13" s="1042">
        <f>'7&amp;8 Sleep'!AD131</f>
        <v>0</v>
      </c>
      <c r="E13" s="1042">
        <f>'7&amp;8 Sleep'!AD183</f>
        <v>0</v>
      </c>
      <c r="F13" s="1042">
        <f>'7&amp;8 Sleep'!AD236</f>
        <v>0</v>
      </c>
      <c r="G13" s="1043">
        <f>'7&amp;8 Sleep'!AD289</f>
        <v>0</v>
      </c>
      <c r="H13" s="1041">
        <v>0</v>
      </c>
      <c r="I13" s="1042">
        <f>'7&amp;8 Day'!AD79</f>
        <v>0</v>
      </c>
      <c r="J13" s="1042">
        <f>'7&amp;8 Day'!AD131</f>
        <v>0</v>
      </c>
      <c r="K13" s="1042">
        <f>'7&amp;8 Day'!AD183</f>
        <v>0</v>
      </c>
      <c r="L13" s="1042">
        <f>'7&amp;8 Day'!AD236</f>
        <v>0</v>
      </c>
      <c r="M13" s="1043">
        <f>'7&amp;8 Day'!AD289</f>
        <v>0</v>
      </c>
      <c r="N13" s="1041">
        <v>0</v>
      </c>
      <c r="O13" s="1042">
        <f>'7&amp;8 SU'!AD79</f>
        <v>0</v>
      </c>
      <c r="P13" s="1042">
        <f>'7&amp;8 SU'!AD131</f>
        <v>0</v>
      </c>
      <c r="Q13" s="1042">
        <f>'7&amp;8 SU'!AD183</f>
        <v>0</v>
      </c>
      <c r="R13" s="1042">
        <f>'7&amp;8 SU'!AD236</f>
        <v>0</v>
      </c>
      <c r="S13" s="1043">
        <f>'7&amp;8 SU'!AD289</f>
        <v>0</v>
      </c>
    </row>
    <row r="14" spans="1:19" x14ac:dyDescent="0.25">
      <c r="A14" s="1034">
        <v>2011</v>
      </c>
      <c r="B14" s="1044">
        <v>0</v>
      </c>
      <c r="C14" s="1045">
        <f>'7&amp;8 Sleep'!AD80</f>
        <v>0</v>
      </c>
      <c r="D14" s="1045">
        <f>'7&amp;8 Sleep'!AD132</f>
        <v>0</v>
      </c>
      <c r="E14" s="1045">
        <f>'7&amp;8 Sleep'!AD184</f>
        <v>0</v>
      </c>
      <c r="F14" s="1045">
        <f>'7&amp;8 Sleep'!AD237</f>
        <v>0</v>
      </c>
      <c r="G14" s="1046">
        <f>'7&amp;8 Sleep'!AD290</f>
        <v>0</v>
      </c>
      <c r="H14" s="1044">
        <v>0</v>
      </c>
      <c r="I14" s="1045">
        <f>'7&amp;8 Day'!AD80</f>
        <v>0</v>
      </c>
      <c r="J14" s="1045">
        <f>'7&amp;8 Day'!AD132</f>
        <v>0</v>
      </c>
      <c r="K14" s="1045">
        <f>'7&amp;8 Day'!AD184</f>
        <v>0</v>
      </c>
      <c r="L14" s="1045">
        <f>'7&amp;8 Day'!AD237</f>
        <v>0</v>
      </c>
      <c r="M14" s="1046">
        <f>'7&amp;8 Day'!AD290</f>
        <v>0</v>
      </c>
      <c r="N14" s="1044">
        <v>0</v>
      </c>
      <c r="O14" s="1045">
        <f>'7&amp;8 SU'!AD80</f>
        <v>0</v>
      </c>
      <c r="P14" s="1045">
        <f>'7&amp;8 SU'!AD132</f>
        <v>0</v>
      </c>
      <c r="Q14" s="1045">
        <f>'7&amp;8 SU'!AD184</f>
        <v>0</v>
      </c>
      <c r="R14" s="1045">
        <f>'7&amp;8 SU'!AD237</f>
        <v>0</v>
      </c>
      <c r="S14" s="1046">
        <f>'7&amp;8 SU'!AD290</f>
        <v>0</v>
      </c>
    </row>
    <row r="15" spans="1:19" x14ac:dyDescent="0.25">
      <c r="A15" s="1034">
        <v>2012</v>
      </c>
      <c r="B15" s="1037">
        <v>0</v>
      </c>
      <c r="C15" s="1038">
        <f>'7&amp;8 Sleep'!AD81</f>
        <v>0</v>
      </c>
      <c r="D15" s="1038">
        <f>'7&amp;8 Sleep'!AD133</f>
        <v>0</v>
      </c>
      <c r="E15" s="1038">
        <f>'7&amp;8 Sleep'!AD185</f>
        <v>0</v>
      </c>
      <c r="F15" s="1038">
        <f>'7&amp;8 Sleep'!AD238</f>
        <v>0</v>
      </c>
      <c r="G15" s="1039">
        <f>'7&amp;8 Sleep'!AD291</f>
        <v>0</v>
      </c>
      <c r="H15" s="1037">
        <v>0</v>
      </c>
      <c r="I15" s="1038">
        <f>'7&amp;8 Day'!AD81</f>
        <v>0</v>
      </c>
      <c r="J15" s="1038">
        <f>'7&amp;8 Day'!AD133</f>
        <v>0</v>
      </c>
      <c r="K15" s="1038">
        <f>'7&amp;8 Day'!AD185</f>
        <v>0</v>
      </c>
      <c r="L15" s="1038">
        <f>'7&amp;8 Day'!AD238</f>
        <v>0</v>
      </c>
      <c r="M15" s="1039">
        <f>'7&amp;8 Day'!AD291</f>
        <v>0</v>
      </c>
      <c r="N15" s="1037">
        <v>0</v>
      </c>
      <c r="O15" s="1038">
        <f>'7&amp;8 SU'!AD81</f>
        <v>0</v>
      </c>
      <c r="P15" s="1038">
        <f>'7&amp;8 SU'!AD133</f>
        <v>0</v>
      </c>
      <c r="Q15" s="1038">
        <f>'7&amp;8 SU'!AD185</f>
        <v>0</v>
      </c>
      <c r="R15" s="1038">
        <f>'7&amp;8 SU'!AD238</f>
        <v>0</v>
      </c>
      <c r="S15" s="1039">
        <f>'7&amp;8 SU'!AD291</f>
        <v>0</v>
      </c>
    </row>
    <row r="16" spans="1:19" x14ac:dyDescent="0.25">
      <c r="A16" s="1034">
        <v>2013</v>
      </c>
      <c r="B16" s="1037">
        <v>0</v>
      </c>
      <c r="C16" s="1038">
        <f>'7&amp;8 Sleep'!AD82</f>
        <v>0</v>
      </c>
      <c r="D16" s="1038">
        <f>'7&amp;8 Sleep'!AD134</f>
        <v>0</v>
      </c>
      <c r="E16" s="1038">
        <f>'7&amp;8 Sleep'!AD186</f>
        <v>0</v>
      </c>
      <c r="F16" s="1038">
        <f>'7&amp;8 Sleep'!AD239</f>
        <v>0</v>
      </c>
      <c r="G16" s="1039">
        <f>'7&amp;8 Sleep'!AD292</f>
        <v>0</v>
      </c>
      <c r="H16" s="1037">
        <v>0</v>
      </c>
      <c r="I16" s="1038">
        <f>'7&amp;8 Day'!AD82</f>
        <v>0</v>
      </c>
      <c r="J16" s="1038">
        <f>'7&amp;8 Day'!AD134</f>
        <v>0</v>
      </c>
      <c r="K16" s="1038">
        <f>'7&amp;8 Day'!AD186</f>
        <v>0</v>
      </c>
      <c r="L16" s="1038">
        <f>'7&amp;8 Day'!AD239</f>
        <v>0</v>
      </c>
      <c r="M16" s="1039">
        <f>'7&amp;8 Day'!AD292</f>
        <v>0</v>
      </c>
      <c r="N16" s="1037">
        <v>0</v>
      </c>
      <c r="O16" s="1038">
        <f>'7&amp;8 SU'!AD82</f>
        <v>0</v>
      </c>
      <c r="P16" s="1038">
        <f>'7&amp;8 SU'!AD134</f>
        <v>0</v>
      </c>
      <c r="Q16" s="1038">
        <f>'7&amp;8 SU'!AD186</f>
        <v>0</v>
      </c>
      <c r="R16" s="1038">
        <f>'7&amp;8 SU'!AD239</f>
        <v>0</v>
      </c>
      <c r="S16" s="1039">
        <f>'7&amp;8 SU'!AD292</f>
        <v>0</v>
      </c>
    </row>
    <row r="17" spans="1:19" x14ac:dyDescent="0.25">
      <c r="A17" s="1034">
        <v>2014</v>
      </c>
      <c r="B17" s="1037">
        <v>0</v>
      </c>
      <c r="C17" s="1038">
        <f>'7&amp;8 Sleep'!AD83</f>
        <v>0</v>
      </c>
      <c r="D17" s="1038">
        <f>'7&amp;8 Sleep'!AD135</f>
        <v>0</v>
      </c>
      <c r="E17" s="1038">
        <f>'7&amp;8 Sleep'!AD187</f>
        <v>0</v>
      </c>
      <c r="F17" s="1038">
        <f>'7&amp;8 Sleep'!AD240</f>
        <v>0</v>
      </c>
      <c r="G17" s="1039">
        <f>'7&amp;8 Sleep'!AD293</f>
        <v>0</v>
      </c>
      <c r="H17" s="1037">
        <v>0</v>
      </c>
      <c r="I17" s="1038">
        <f>'7&amp;8 Day'!AD83</f>
        <v>0</v>
      </c>
      <c r="J17" s="1038">
        <f>'7&amp;8 Day'!AD135</f>
        <v>0</v>
      </c>
      <c r="K17" s="1038">
        <f>'7&amp;8 Day'!AD187</f>
        <v>0</v>
      </c>
      <c r="L17" s="1038">
        <f>'7&amp;8 Day'!AD240</f>
        <v>0</v>
      </c>
      <c r="M17" s="1039">
        <f>'7&amp;8 Day'!AD293</f>
        <v>0</v>
      </c>
      <c r="N17" s="1037">
        <v>0</v>
      </c>
      <c r="O17" s="1038">
        <f>'7&amp;8 SU'!AD83</f>
        <v>0</v>
      </c>
      <c r="P17" s="1038">
        <f>'7&amp;8 SU'!AD135</f>
        <v>0</v>
      </c>
      <c r="Q17" s="1038">
        <f>'7&amp;8 SU'!AD187</f>
        <v>0</v>
      </c>
      <c r="R17" s="1038">
        <f>'7&amp;8 SU'!AD240</f>
        <v>0</v>
      </c>
      <c r="S17" s="1039">
        <f>'7&amp;8 SU'!AD293</f>
        <v>0</v>
      </c>
    </row>
    <row r="18" spans="1:19" x14ac:dyDescent="0.25">
      <c r="A18" s="1040">
        <v>2015</v>
      </c>
      <c r="B18" s="1041">
        <v>0</v>
      </c>
      <c r="C18" s="1042">
        <f>'7&amp;8 Sleep'!AD84</f>
        <v>0</v>
      </c>
      <c r="D18" s="1042">
        <f>'7&amp;8 Sleep'!AD136</f>
        <v>0</v>
      </c>
      <c r="E18" s="1042">
        <f>'7&amp;8 Sleep'!AD188</f>
        <v>0</v>
      </c>
      <c r="F18" s="1042">
        <f>'7&amp;8 Sleep'!AD241</f>
        <v>0</v>
      </c>
      <c r="G18" s="1043">
        <f>'7&amp;8 Sleep'!AD294</f>
        <v>0</v>
      </c>
      <c r="H18" s="1041">
        <v>0</v>
      </c>
      <c r="I18" s="1042">
        <f>'7&amp;8 Day'!AD84</f>
        <v>0</v>
      </c>
      <c r="J18" s="1042">
        <f>'7&amp;8 Day'!AD136</f>
        <v>0</v>
      </c>
      <c r="K18" s="1042">
        <f>'7&amp;8 Day'!AD188</f>
        <v>0</v>
      </c>
      <c r="L18" s="1042">
        <f>'7&amp;8 Day'!AD241</f>
        <v>0</v>
      </c>
      <c r="M18" s="1043">
        <f>'7&amp;8 Day'!AD294</f>
        <v>0</v>
      </c>
      <c r="N18" s="1041">
        <v>0</v>
      </c>
      <c r="O18" s="1042">
        <f>'7&amp;8 SU'!AD84</f>
        <v>0</v>
      </c>
      <c r="P18" s="1042">
        <f>'7&amp;8 SU'!AD136</f>
        <v>0</v>
      </c>
      <c r="Q18" s="1042">
        <f>'7&amp;8 SU'!AD188</f>
        <v>0</v>
      </c>
      <c r="R18" s="1042">
        <f>'7&amp;8 SU'!AD241</f>
        <v>0</v>
      </c>
      <c r="S18" s="1043">
        <f>'7&amp;8 SU'!AD294</f>
        <v>0</v>
      </c>
    </row>
    <row r="19" spans="1:19" x14ac:dyDescent="0.25">
      <c r="A19" s="1034">
        <v>2016</v>
      </c>
      <c r="B19" s="1044">
        <v>0</v>
      </c>
      <c r="C19" s="1045">
        <f>'7&amp;8 Sleep'!AD85</f>
        <v>0</v>
      </c>
      <c r="D19" s="1045">
        <f>'7&amp;8 Sleep'!AD137</f>
        <v>0</v>
      </c>
      <c r="E19" s="1045">
        <f>'7&amp;8 Sleep'!AD189</f>
        <v>0</v>
      </c>
      <c r="F19" s="1045">
        <f>'7&amp;8 Sleep'!AD242</f>
        <v>0</v>
      </c>
      <c r="G19" s="1046">
        <f>'7&amp;8 Sleep'!AD295</f>
        <v>0</v>
      </c>
      <c r="H19" s="1044">
        <v>0</v>
      </c>
      <c r="I19" s="1045">
        <f>'7&amp;8 Day'!AD85</f>
        <v>0</v>
      </c>
      <c r="J19" s="1045">
        <f>'7&amp;8 Day'!AD137</f>
        <v>0</v>
      </c>
      <c r="K19" s="1045">
        <f>'7&amp;8 Day'!AD189</f>
        <v>0</v>
      </c>
      <c r="L19" s="1045">
        <f>'7&amp;8 Day'!AD242</f>
        <v>0</v>
      </c>
      <c r="M19" s="1046">
        <f>'7&amp;8 Day'!AD295</f>
        <v>0</v>
      </c>
      <c r="N19" s="1044">
        <v>0</v>
      </c>
      <c r="O19" s="1045">
        <f>'7&amp;8 SU'!AD85</f>
        <v>0</v>
      </c>
      <c r="P19" s="1045">
        <f>'7&amp;8 SU'!AD137</f>
        <v>0</v>
      </c>
      <c r="Q19" s="1045">
        <f>'7&amp;8 SU'!AD189</f>
        <v>0</v>
      </c>
      <c r="R19" s="1045">
        <f>'7&amp;8 SU'!AD242</f>
        <v>0</v>
      </c>
      <c r="S19" s="1046">
        <f>'7&amp;8 SU'!AD295</f>
        <v>0</v>
      </c>
    </row>
    <row r="20" spans="1:19" x14ac:dyDescent="0.25">
      <c r="A20" s="1034">
        <v>2017</v>
      </c>
      <c r="B20" s="1037">
        <v>0</v>
      </c>
      <c r="C20" s="1038">
        <f>'7&amp;8 Sleep'!AD86</f>
        <v>0</v>
      </c>
      <c r="D20" s="1038">
        <f>'7&amp;8 Sleep'!AD138</f>
        <v>0</v>
      </c>
      <c r="E20" s="1038">
        <f>'7&amp;8 Sleep'!AD190</f>
        <v>0</v>
      </c>
      <c r="F20" s="1038">
        <f>'7&amp;8 Sleep'!AD243</f>
        <v>0</v>
      </c>
      <c r="G20" s="1039">
        <f>'7&amp;8 Sleep'!AD296</f>
        <v>0</v>
      </c>
      <c r="H20" s="1037">
        <v>0</v>
      </c>
      <c r="I20" s="1038">
        <f>'7&amp;8 Day'!AD86</f>
        <v>0</v>
      </c>
      <c r="J20" s="1038">
        <f>'7&amp;8 Day'!AD138</f>
        <v>0</v>
      </c>
      <c r="K20" s="1038">
        <f>'7&amp;8 Day'!AD190</f>
        <v>0</v>
      </c>
      <c r="L20" s="1038">
        <f>'7&amp;8 Day'!AD243</f>
        <v>0</v>
      </c>
      <c r="M20" s="1039">
        <f>'7&amp;8 Day'!AD296</f>
        <v>0</v>
      </c>
      <c r="N20" s="1037">
        <v>0</v>
      </c>
      <c r="O20" s="1038">
        <f>'7&amp;8 SU'!AD86</f>
        <v>0</v>
      </c>
      <c r="P20" s="1038">
        <f>'7&amp;8 SU'!AD138</f>
        <v>0</v>
      </c>
      <c r="Q20" s="1038">
        <f>'7&amp;8 SU'!AD190</f>
        <v>0</v>
      </c>
      <c r="R20" s="1038">
        <f>'7&amp;8 SU'!AD243</f>
        <v>0</v>
      </c>
      <c r="S20" s="1039">
        <f>'7&amp;8 SU'!AD296</f>
        <v>0</v>
      </c>
    </row>
    <row r="21" spans="1:19" x14ac:dyDescent="0.25">
      <c r="A21" s="1034">
        <v>2018</v>
      </c>
      <c r="B21" s="1037">
        <v>0</v>
      </c>
      <c r="C21" s="1038">
        <f>'7&amp;8 Sleep'!AD87</f>
        <v>0</v>
      </c>
      <c r="D21" s="1038">
        <f>'7&amp;8 Sleep'!AD139</f>
        <v>0</v>
      </c>
      <c r="E21" s="1038">
        <f>'7&amp;8 Sleep'!AD191</f>
        <v>0</v>
      </c>
      <c r="F21" s="1038">
        <f>'7&amp;8 Sleep'!AD244</f>
        <v>0</v>
      </c>
      <c r="G21" s="1039">
        <f>'7&amp;8 Sleep'!AD297</f>
        <v>0</v>
      </c>
      <c r="H21" s="1037">
        <v>0</v>
      </c>
      <c r="I21" s="1038">
        <f>'7&amp;8 Day'!AD87</f>
        <v>0</v>
      </c>
      <c r="J21" s="1038">
        <f>'7&amp;8 Day'!AD139</f>
        <v>0</v>
      </c>
      <c r="K21" s="1038">
        <f>'7&amp;8 Day'!AD191</f>
        <v>0</v>
      </c>
      <c r="L21" s="1038">
        <f>'7&amp;8 Day'!AD244</f>
        <v>0</v>
      </c>
      <c r="M21" s="1039">
        <f>'7&amp;8 Day'!AD297</f>
        <v>0</v>
      </c>
      <c r="N21" s="1037">
        <v>0</v>
      </c>
      <c r="O21" s="1038">
        <f>'7&amp;8 SU'!AD87</f>
        <v>0</v>
      </c>
      <c r="P21" s="1038">
        <f>'7&amp;8 SU'!AD139</f>
        <v>0</v>
      </c>
      <c r="Q21" s="1038">
        <f>'7&amp;8 SU'!AD191</f>
        <v>0</v>
      </c>
      <c r="R21" s="1038">
        <f>'7&amp;8 SU'!AD244</f>
        <v>0</v>
      </c>
      <c r="S21" s="1039">
        <f>'7&amp;8 SU'!AD297</f>
        <v>0</v>
      </c>
    </row>
    <row r="22" spans="1:19" x14ac:dyDescent="0.25">
      <c r="A22" s="1034">
        <v>2019</v>
      </c>
      <c r="B22" s="1037">
        <v>0</v>
      </c>
      <c r="C22" s="1038">
        <f>'7&amp;8 Sleep'!AD88</f>
        <v>0</v>
      </c>
      <c r="D22" s="1038">
        <f>'7&amp;8 Sleep'!AD140</f>
        <v>0</v>
      </c>
      <c r="E22" s="1038">
        <f>'7&amp;8 Sleep'!AD192</f>
        <v>0</v>
      </c>
      <c r="F22" s="1038">
        <f>'7&amp;8 Sleep'!AD245</f>
        <v>0</v>
      </c>
      <c r="G22" s="1039">
        <f>'7&amp;8 Sleep'!AD298</f>
        <v>0</v>
      </c>
      <c r="H22" s="1037">
        <v>0</v>
      </c>
      <c r="I22" s="1038">
        <f>'7&amp;8 Day'!AD88</f>
        <v>0</v>
      </c>
      <c r="J22" s="1038">
        <f>'7&amp;8 Day'!AD140</f>
        <v>0</v>
      </c>
      <c r="K22" s="1038">
        <f>'7&amp;8 Day'!AD192</f>
        <v>0</v>
      </c>
      <c r="L22" s="1038">
        <f>'7&amp;8 Day'!AD245</f>
        <v>0</v>
      </c>
      <c r="M22" s="1039">
        <f>'7&amp;8 Day'!AD298</f>
        <v>0</v>
      </c>
      <c r="N22" s="1037">
        <v>0</v>
      </c>
      <c r="O22" s="1038">
        <f>'7&amp;8 SU'!AD88</f>
        <v>0</v>
      </c>
      <c r="P22" s="1038">
        <f>'7&amp;8 SU'!AD140</f>
        <v>0</v>
      </c>
      <c r="Q22" s="1038">
        <f>'7&amp;8 SU'!AD192</f>
        <v>0</v>
      </c>
      <c r="R22" s="1038">
        <f>'7&amp;8 SU'!AD245</f>
        <v>0</v>
      </c>
      <c r="S22" s="1039">
        <f>'7&amp;8 SU'!AD298</f>
        <v>0</v>
      </c>
    </row>
    <row r="23" spans="1:19" x14ac:dyDescent="0.25">
      <c r="A23" s="1040">
        <v>2020</v>
      </c>
      <c r="B23" s="1041">
        <v>0</v>
      </c>
      <c r="C23" s="1042">
        <f>'7&amp;8 Sleep'!AD89</f>
        <v>0</v>
      </c>
      <c r="D23" s="1042">
        <f>'7&amp;8 Sleep'!AD141</f>
        <v>0</v>
      </c>
      <c r="E23" s="1042">
        <f>'7&amp;8 Sleep'!AD193</f>
        <v>0</v>
      </c>
      <c r="F23" s="1042">
        <f>'7&amp;8 Sleep'!AD246</f>
        <v>0</v>
      </c>
      <c r="G23" s="1043">
        <f>'7&amp;8 Sleep'!AD299</f>
        <v>0</v>
      </c>
      <c r="H23" s="1041">
        <v>0</v>
      </c>
      <c r="I23" s="1042">
        <f>'7&amp;8 Day'!AD89</f>
        <v>0</v>
      </c>
      <c r="J23" s="1042">
        <f>'7&amp;8 Day'!AD141</f>
        <v>0</v>
      </c>
      <c r="K23" s="1042">
        <f>'7&amp;8 Day'!AD193</f>
        <v>0</v>
      </c>
      <c r="L23" s="1042">
        <f>'7&amp;8 Day'!AD246</f>
        <v>0</v>
      </c>
      <c r="M23" s="1043">
        <f>'7&amp;8 Day'!AD299</f>
        <v>0</v>
      </c>
      <c r="N23" s="1041">
        <v>0</v>
      </c>
      <c r="O23" s="1042">
        <f>'7&amp;8 SU'!AD89</f>
        <v>0</v>
      </c>
      <c r="P23" s="1042">
        <f>'7&amp;8 SU'!AD141</f>
        <v>0</v>
      </c>
      <c r="Q23" s="1042">
        <f>'7&amp;8 SU'!AD193</f>
        <v>0</v>
      </c>
      <c r="R23" s="1042">
        <f>'7&amp;8 SU'!AD246</f>
        <v>0</v>
      </c>
      <c r="S23" s="1043">
        <f>'7&amp;8 SU'!AD299</f>
        <v>0</v>
      </c>
    </row>
    <row r="24" spans="1:19" x14ac:dyDescent="0.25">
      <c r="A24" s="1034">
        <v>2021</v>
      </c>
      <c r="B24" s="1044">
        <v>0</v>
      </c>
      <c r="C24" s="1045">
        <f>'7&amp;8 Sleep'!AD90</f>
        <v>0</v>
      </c>
      <c r="D24" s="1045">
        <f>'7&amp;8 Sleep'!AD142</f>
        <v>0</v>
      </c>
      <c r="E24" s="1045">
        <f>'7&amp;8 Sleep'!AD194</f>
        <v>0</v>
      </c>
      <c r="F24" s="1045">
        <f>'7&amp;8 Sleep'!AD247</f>
        <v>0</v>
      </c>
      <c r="G24" s="1046">
        <f>'7&amp;8 Sleep'!AD300</f>
        <v>0</v>
      </c>
      <c r="H24" s="1044">
        <v>0</v>
      </c>
      <c r="I24" s="1045">
        <f>'7&amp;8 Day'!AD90</f>
        <v>0</v>
      </c>
      <c r="J24" s="1045">
        <f>'7&amp;8 Day'!AD142</f>
        <v>0</v>
      </c>
      <c r="K24" s="1045">
        <f>'7&amp;8 Day'!AD194</f>
        <v>0</v>
      </c>
      <c r="L24" s="1045">
        <f>'7&amp;8 Day'!AD247</f>
        <v>0</v>
      </c>
      <c r="M24" s="1046">
        <f>'7&amp;8 Day'!AD300</f>
        <v>0</v>
      </c>
      <c r="N24" s="1044">
        <v>0</v>
      </c>
      <c r="O24" s="1045">
        <f>'7&amp;8 SU'!AD90</f>
        <v>0</v>
      </c>
      <c r="P24" s="1045">
        <f>'7&amp;8 SU'!AD142</f>
        <v>0</v>
      </c>
      <c r="Q24" s="1045">
        <f>'7&amp;8 SU'!AD194</f>
        <v>0</v>
      </c>
      <c r="R24" s="1045">
        <f>'7&amp;8 SU'!AD247</f>
        <v>0</v>
      </c>
      <c r="S24" s="1046">
        <f>'7&amp;8 SU'!AD300</f>
        <v>0</v>
      </c>
    </row>
    <row r="25" spans="1:19" x14ac:dyDescent="0.25">
      <c r="A25" s="1034">
        <v>2022</v>
      </c>
      <c r="B25" s="1037">
        <v>0</v>
      </c>
      <c r="C25" s="1038">
        <f>'7&amp;8 Sleep'!AD91</f>
        <v>0</v>
      </c>
      <c r="D25" s="1038">
        <f>'7&amp;8 Sleep'!AD143</f>
        <v>0</v>
      </c>
      <c r="E25" s="1038">
        <f>'7&amp;8 Sleep'!AD195</f>
        <v>0</v>
      </c>
      <c r="F25" s="1038">
        <f>'7&amp;8 Sleep'!AD248</f>
        <v>0</v>
      </c>
      <c r="G25" s="1039">
        <f>'7&amp;8 Sleep'!AD301</f>
        <v>0</v>
      </c>
      <c r="H25" s="1037">
        <v>0</v>
      </c>
      <c r="I25" s="1038">
        <f>'7&amp;8 Day'!AD91</f>
        <v>0</v>
      </c>
      <c r="J25" s="1038">
        <f>'7&amp;8 Day'!AD143</f>
        <v>0</v>
      </c>
      <c r="K25" s="1038">
        <f>'7&amp;8 Day'!AD195</f>
        <v>0</v>
      </c>
      <c r="L25" s="1038">
        <f>'7&amp;8 Day'!AD248</f>
        <v>0</v>
      </c>
      <c r="M25" s="1039">
        <f>'7&amp;8 Day'!AD301</f>
        <v>0</v>
      </c>
      <c r="N25" s="1037">
        <v>0</v>
      </c>
      <c r="O25" s="1038">
        <f>'7&amp;8 SU'!AD91</f>
        <v>0</v>
      </c>
      <c r="P25" s="1038">
        <f>'7&amp;8 SU'!AD143</f>
        <v>0</v>
      </c>
      <c r="Q25" s="1038">
        <f>'7&amp;8 SU'!AD195</f>
        <v>0</v>
      </c>
      <c r="R25" s="1038">
        <f>'7&amp;8 SU'!AD248</f>
        <v>0</v>
      </c>
      <c r="S25" s="1039">
        <f>'7&amp;8 SU'!AD301</f>
        <v>0</v>
      </c>
    </row>
    <row r="26" spans="1:19" x14ac:dyDescent="0.25">
      <c r="A26" s="1034">
        <v>2023</v>
      </c>
      <c r="B26" s="1037">
        <v>0</v>
      </c>
      <c r="C26" s="1038">
        <f>'7&amp;8 Sleep'!AD92</f>
        <v>0</v>
      </c>
      <c r="D26" s="1038">
        <f>'7&amp;8 Sleep'!AD144</f>
        <v>0</v>
      </c>
      <c r="E26" s="1038">
        <f>'7&amp;8 Sleep'!AD196</f>
        <v>0</v>
      </c>
      <c r="F26" s="1038">
        <f>'7&amp;8 Sleep'!AD249</f>
        <v>0</v>
      </c>
      <c r="G26" s="1039">
        <f>'7&amp;8 Sleep'!AD302</f>
        <v>0</v>
      </c>
      <c r="H26" s="1037">
        <v>0</v>
      </c>
      <c r="I26" s="1038">
        <f>'7&amp;8 Day'!AD92</f>
        <v>0</v>
      </c>
      <c r="J26" s="1038">
        <f>'7&amp;8 Day'!AD144</f>
        <v>0</v>
      </c>
      <c r="K26" s="1038">
        <f>'7&amp;8 Day'!AD196</f>
        <v>0</v>
      </c>
      <c r="L26" s="1038">
        <f>'7&amp;8 Day'!AD249</f>
        <v>0</v>
      </c>
      <c r="M26" s="1039">
        <f>'7&amp;8 Day'!AD302</f>
        <v>0</v>
      </c>
      <c r="N26" s="1037">
        <v>0</v>
      </c>
      <c r="O26" s="1038">
        <f>'7&amp;8 SU'!AD92</f>
        <v>0</v>
      </c>
      <c r="P26" s="1038">
        <f>'7&amp;8 SU'!AD144</f>
        <v>0</v>
      </c>
      <c r="Q26" s="1038">
        <f>'7&amp;8 SU'!AD196</f>
        <v>0</v>
      </c>
      <c r="R26" s="1038">
        <f>'7&amp;8 SU'!AD249</f>
        <v>0</v>
      </c>
      <c r="S26" s="1039">
        <f>'7&amp;8 SU'!AD302</f>
        <v>0</v>
      </c>
    </row>
    <row r="27" spans="1:19" x14ac:dyDescent="0.25">
      <c r="A27" s="1034">
        <v>2024</v>
      </c>
      <c r="B27" s="1037">
        <v>0</v>
      </c>
      <c r="C27" s="1038">
        <f>'7&amp;8 Sleep'!AD93</f>
        <v>0</v>
      </c>
      <c r="D27" s="1038">
        <f>'7&amp;8 Sleep'!AD145</f>
        <v>0</v>
      </c>
      <c r="E27" s="1038">
        <f>'7&amp;8 Sleep'!AD197</f>
        <v>0</v>
      </c>
      <c r="F27" s="1038">
        <f>'7&amp;8 Sleep'!AD250</f>
        <v>0</v>
      </c>
      <c r="G27" s="1039">
        <f>'7&amp;8 Sleep'!AD303</f>
        <v>0</v>
      </c>
      <c r="H27" s="1037">
        <v>0</v>
      </c>
      <c r="I27" s="1038">
        <f>'7&amp;8 Day'!AD93</f>
        <v>0</v>
      </c>
      <c r="J27" s="1038">
        <f>'7&amp;8 Day'!AD145</f>
        <v>0</v>
      </c>
      <c r="K27" s="1038">
        <f>'7&amp;8 Day'!AD197</f>
        <v>0</v>
      </c>
      <c r="L27" s="1038">
        <f>'7&amp;8 Day'!AD250</f>
        <v>0</v>
      </c>
      <c r="M27" s="1039">
        <f>'7&amp;8 Day'!AD303</f>
        <v>0</v>
      </c>
      <c r="N27" s="1037">
        <v>0</v>
      </c>
      <c r="O27" s="1038">
        <f>'7&amp;8 SU'!AD93</f>
        <v>0</v>
      </c>
      <c r="P27" s="1038">
        <f>'7&amp;8 SU'!AD145</f>
        <v>0</v>
      </c>
      <c r="Q27" s="1038">
        <f>'7&amp;8 SU'!AD197</f>
        <v>0</v>
      </c>
      <c r="R27" s="1038">
        <f>'7&amp;8 SU'!AD250</f>
        <v>0</v>
      </c>
      <c r="S27" s="1039">
        <f>'7&amp;8 SU'!AD303</f>
        <v>0</v>
      </c>
    </row>
    <row r="28" spans="1:19" x14ac:dyDescent="0.25">
      <c r="A28" s="1040">
        <v>2025</v>
      </c>
      <c r="B28" s="1041">
        <v>0</v>
      </c>
      <c r="C28" s="1042">
        <f>'7&amp;8 Sleep'!AD94</f>
        <v>0</v>
      </c>
      <c r="D28" s="1042">
        <f>'7&amp;8 Sleep'!AD146</f>
        <v>0</v>
      </c>
      <c r="E28" s="1042">
        <f>'7&amp;8 Sleep'!AD198</f>
        <v>0</v>
      </c>
      <c r="F28" s="1042">
        <f>'7&amp;8 Sleep'!AD251</f>
        <v>0</v>
      </c>
      <c r="G28" s="1043">
        <f>'7&amp;8 Sleep'!AD304</f>
        <v>0</v>
      </c>
      <c r="H28" s="1041">
        <v>0</v>
      </c>
      <c r="I28" s="1042">
        <f>'7&amp;8 Day'!AD94</f>
        <v>0</v>
      </c>
      <c r="J28" s="1042">
        <f>'7&amp;8 Day'!AD146</f>
        <v>0</v>
      </c>
      <c r="K28" s="1042">
        <f>'7&amp;8 Day'!AD198</f>
        <v>0</v>
      </c>
      <c r="L28" s="1042">
        <f>'7&amp;8 Day'!AD251</f>
        <v>0</v>
      </c>
      <c r="M28" s="1043">
        <f>'7&amp;8 Day'!AD304</f>
        <v>0</v>
      </c>
      <c r="N28" s="1041">
        <v>0</v>
      </c>
      <c r="O28" s="1042">
        <f>'7&amp;8 SU'!AD94</f>
        <v>0</v>
      </c>
      <c r="P28" s="1042">
        <f>'7&amp;8 SU'!AD146</f>
        <v>0</v>
      </c>
      <c r="Q28" s="1042">
        <f>'7&amp;8 SU'!AD198</f>
        <v>0</v>
      </c>
      <c r="R28" s="1042">
        <f>'7&amp;8 SU'!AD251</f>
        <v>0</v>
      </c>
      <c r="S28" s="1043">
        <f>'7&amp;8 SU'!AD304</f>
        <v>0</v>
      </c>
    </row>
    <row r="29" spans="1:19" x14ac:dyDescent="0.25">
      <c r="A29" s="1034">
        <v>2026</v>
      </c>
      <c r="B29" s="1044">
        <v>0</v>
      </c>
      <c r="C29" s="1045">
        <f>'7&amp;8 Sleep'!AD95</f>
        <v>0</v>
      </c>
      <c r="D29" s="1045">
        <f>'7&amp;8 Sleep'!AD147</f>
        <v>0</v>
      </c>
      <c r="E29" s="1045">
        <f>'7&amp;8 Sleep'!AD199</f>
        <v>0</v>
      </c>
      <c r="F29" s="1045">
        <f>'7&amp;8 Sleep'!AD252</f>
        <v>0</v>
      </c>
      <c r="G29" s="1046">
        <f>'7&amp;8 Sleep'!AD305</f>
        <v>0</v>
      </c>
      <c r="H29" s="1044">
        <v>0</v>
      </c>
      <c r="I29" s="1045">
        <f>'7&amp;8 Day'!AD95</f>
        <v>0</v>
      </c>
      <c r="J29" s="1045">
        <f>'7&amp;8 Day'!AD147</f>
        <v>0</v>
      </c>
      <c r="K29" s="1045">
        <f>'7&amp;8 Day'!AD199</f>
        <v>0</v>
      </c>
      <c r="L29" s="1045">
        <f>'7&amp;8 Day'!AD252</f>
        <v>0</v>
      </c>
      <c r="M29" s="1046">
        <f>'7&amp;8 Day'!AD305</f>
        <v>0</v>
      </c>
      <c r="N29" s="1044">
        <v>0</v>
      </c>
      <c r="O29" s="1045">
        <f>'7&amp;8 SU'!AD95</f>
        <v>0</v>
      </c>
      <c r="P29" s="1045">
        <f>'7&amp;8 SU'!AD147</f>
        <v>0</v>
      </c>
      <c r="Q29" s="1045">
        <f>'7&amp;8 SU'!AD199</f>
        <v>0</v>
      </c>
      <c r="R29" s="1045">
        <f>'7&amp;8 SU'!AD252</f>
        <v>0</v>
      </c>
      <c r="S29" s="1046">
        <f>'7&amp;8 SU'!AD305</f>
        <v>0.16147441907306245</v>
      </c>
    </row>
    <row r="30" spans="1:19" x14ac:dyDescent="0.25">
      <c r="A30" s="1034">
        <v>2027</v>
      </c>
      <c r="B30" s="1037">
        <v>0</v>
      </c>
      <c r="C30" s="1038">
        <f>'7&amp;8 Sleep'!AD96</f>
        <v>0</v>
      </c>
      <c r="D30" s="1038">
        <f>'7&amp;8 Sleep'!AD148</f>
        <v>0</v>
      </c>
      <c r="E30" s="1038">
        <f>'7&amp;8 Sleep'!AD200</f>
        <v>0</v>
      </c>
      <c r="F30" s="1038">
        <f>'7&amp;8 Sleep'!AD253</f>
        <v>0</v>
      </c>
      <c r="G30" s="1039">
        <f>'7&amp;8 Sleep'!AD306</f>
        <v>0</v>
      </c>
      <c r="H30" s="1037">
        <v>0</v>
      </c>
      <c r="I30" s="1038">
        <f>'7&amp;8 Day'!AD96</f>
        <v>0</v>
      </c>
      <c r="J30" s="1038">
        <f>'7&amp;8 Day'!AD148</f>
        <v>0</v>
      </c>
      <c r="K30" s="1038">
        <f>'7&amp;8 Day'!AD200</f>
        <v>0</v>
      </c>
      <c r="L30" s="1038">
        <f>'7&amp;8 Day'!AD253</f>
        <v>0</v>
      </c>
      <c r="M30" s="1039">
        <f>'7&amp;8 Day'!AD306</f>
        <v>0</v>
      </c>
      <c r="N30" s="1037">
        <v>0</v>
      </c>
      <c r="O30" s="1038">
        <f>'7&amp;8 SU'!AD96</f>
        <v>0</v>
      </c>
      <c r="P30" s="1038">
        <f>'7&amp;8 SU'!AD148</f>
        <v>0</v>
      </c>
      <c r="Q30" s="1038">
        <f>'7&amp;8 SU'!AD200</f>
        <v>0</v>
      </c>
      <c r="R30" s="1038">
        <f>'7&amp;8 SU'!AD253</f>
        <v>0</v>
      </c>
      <c r="S30" s="1039">
        <f>'7&amp;8 SU'!AD306</f>
        <v>0.17066023347364592</v>
      </c>
    </row>
    <row r="31" spans="1:19" x14ac:dyDescent="0.25">
      <c r="A31" s="1034">
        <v>2028</v>
      </c>
      <c r="B31" s="1037">
        <v>0</v>
      </c>
      <c r="C31" s="1038">
        <f>'7&amp;8 Sleep'!AD97</f>
        <v>0</v>
      </c>
      <c r="D31" s="1038">
        <f>'7&amp;8 Sleep'!AD149</f>
        <v>0</v>
      </c>
      <c r="E31" s="1038">
        <f>'7&amp;8 Sleep'!AD201</f>
        <v>0</v>
      </c>
      <c r="F31" s="1038">
        <f>'7&amp;8 Sleep'!AD254</f>
        <v>0</v>
      </c>
      <c r="G31" s="1039">
        <f>'7&amp;8 Sleep'!AD307</f>
        <v>0</v>
      </c>
      <c r="H31" s="1037">
        <v>0</v>
      </c>
      <c r="I31" s="1038">
        <f>'7&amp;8 Day'!AD97</f>
        <v>0</v>
      </c>
      <c r="J31" s="1038">
        <f>'7&amp;8 Day'!AD149</f>
        <v>0</v>
      </c>
      <c r="K31" s="1038">
        <f>'7&amp;8 Day'!AD201</f>
        <v>0</v>
      </c>
      <c r="L31" s="1038">
        <f>'7&amp;8 Day'!AD254</f>
        <v>0</v>
      </c>
      <c r="M31" s="1039">
        <f>'7&amp;8 Day'!AD307</f>
        <v>0</v>
      </c>
      <c r="N31" s="1037">
        <v>0</v>
      </c>
      <c r="O31" s="1038">
        <f>'7&amp;8 SU'!AD97</f>
        <v>0</v>
      </c>
      <c r="P31" s="1038">
        <f>'7&amp;8 SU'!AD149</f>
        <v>0</v>
      </c>
      <c r="Q31" s="1038">
        <f>'7&amp;8 SU'!AD201</f>
        <v>0</v>
      </c>
      <c r="R31" s="1038">
        <f>'7&amp;8 SU'!AD254</f>
        <v>0</v>
      </c>
      <c r="S31" s="1039">
        <f>'7&amp;8 SU'!AD307</f>
        <v>0.17734783826912395</v>
      </c>
    </row>
    <row r="32" spans="1:19" x14ac:dyDescent="0.25">
      <c r="A32" s="1034">
        <v>2029</v>
      </c>
      <c r="B32" s="1037">
        <v>0</v>
      </c>
      <c r="C32" s="1038">
        <f>'7&amp;8 Sleep'!AD98</f>
        <v>0</v>
      </c>
      <c r="D32" s="1038">
        <f>'7&amp;8 Sleep'!AD150</f>
        <v>0</v>
      </c>
      <c r="E32" s="1038">
        <f>'7&amp;8 Sleep'!AD202</f>
        <v>0</v>
      </c>
      <c r="F32" s="1038">
        <f>'7&amp;8 Sleep'!AD255</f>
        <v>0</v>
      </c>
      <c r="G32" s="1039">
        <f>'7&amp;8 Sleep'!AD308</f>
        <v>0</v>
      </c>
      <c r="H32" s="1037">
        <v>0</v>
      </c>
      <c r="I32" s="1038">
        <f>'7&amp;8 Day'!AD98</f>
        <v>0</v>
      </c>
      <c r="J32" s="1038">
        <f>'7&amp;8 Day'!AD150</f>
        <v>0</v>
      </c>
      <c r="K32" s="1038">
        <f>'7&amp;8 Day'!AD202</f>
        <v>0</v>
      </c>
      <c r="L32" s="1038">
        <f>'7&amp;8 Day'!AD255</f>
        <v>0</v>
      </c>
      <c r="M32" s="1039">
        <f>'7&amp;8 Day'!AD308</f>
        <v>0</v>
      </c>
      <c r="N32" s="1037">
        <v>0</v>
      </c>
      <c r="O32" s="1038">
        <f>'7&amp;8 SU'!AD98</f>
        <v>0</v>
      </c>
      <c r="P32" s="1038">
        <f>'7&amp;8 SU'!AD150</f>
        <v>0</v>
      </c>
      <c r="Q32" s="1038">
        <f>'7&amp;8 SU'!AD202</f>
        <v>0</v>
      </c>
      <c r="R32" s="1038">
        <f>'7&amp;8 SU'!AD255</f>
        <v>0</v>
      </c>
      <c r="S32" s="1039">
        <f>'7&amp;8 SU'!AD308</f>
        <v>0.18002503858293481</v>
      </c>
    </row>
    <row r="33" spans="1:19" x14ac:dyDescent="0.25">
      <c r="A33" s="1040">
        <v>2030</v>
      </c>
      <c r="B33" s="1041">
        <v>0</v>
      </c>
      <c r="C33" s="1042">
        <f>'7&amp;8 Sleep'!AD99</f>
        <v>0</v>
      </c>
      <c r="D33" s="1042">
        <f>'7&amp;8 Sleep'!AD151</f>
        <v>0</v>
      </c>
      <c r="E33" s="1042">
        <f>'7&amp;8 Sleep'!AD203</f>
        <v>0</v>
      </c>
      <c r="F33" s="1042">
        <f>'7&amp;8 Sleep'!AD256</f>
        <v>0</v>
      </c>
      <c r="G33" s="1043">
        <f>'7&amp;8 Sleep'!AD309</f>
        <v>0</v>
      </c>
      <c r="H33" s="1041">
        <v>0</v>
      </c>
      <c r="I33" s="1042">
        <f>'7&amp;8 Day'!AD99</f>
        <v>0</v>
      </c>
      <c r="J33" s="1042">
        <f>'7&amp;8 Day'!AD151</f>
        <v>0</v>
      </c>
      <c r="K33" s="1042">
        <f>'7&amp;8 Day'!AD203</f>
        <v>0</v>
      </c>
      <c r="L33" s="1042">
        <f>'7&amp;8 Day'!AD256</f>
        <v>0</v>
      </c>
      <c r="M33" s="1043">
        <f>'7&amp;8 Day'!AD309</f>
        <v>0</v>
      </c>
      <c r="N33" s="1041">
        <v>0</v>
      </c>
      <c r="O33" s="1042">
        <f>'7&amp;8 SU'!AD99</f>
        <v>0</v>
      </c>
      <c r="P33" s="1042">
        <f>'7&amp;8 SU'!AD151</f>
        <v>0</v>
      </c>
      <c r="Q33" s="1042">
        <f>'7&amp;8 SU'!AD203</f>
        <v>0</v>
      </c>
      <c r="R33" s="1042">
        <f>'7&amp;8 SU'!AD256</f>
        <v>0</v>
      </c>
      <c r="S33" s="1043">
        <f>'7&amp;8 SU'!AD309</f>
        <v>0.18669695103618944</v>
      </c>
    </row>
    <row r="34" spans="1:19" x14ac:dyDescent="0.25">
      <c r="A34" s="1034">
        <v>2031</v>
      </c>
      <c r="B34" s="1044">
        <v>0</v>
      </c>
      <c r="C34" s="1045">
        <f>'7&amp;8 Sleep'!AD100</f>
        <v>0</v>
      </c>
      <c r="D34" s="1045">
        <f>'7&amp;8 Sleep'!AD152</f>
        <v>0</v>
      </c>
      <c r="E34" s="1045">
        <f>'7&amp;8 Sleep'!AD204</f>
        <v>0</v>
      </c>
      <c r="F34" s="1045">
        <f>'7&amp;8 Sleep'!AD257</f>
        <v>0</v>
      </c>
      <c r="G34" s="1046">
        <f>'7&amp;8 Sleep'!AD310</f>
        <v>0</v>
      </c>
      <c r="H34" s="1044">
        <v>0</v>
      </c>
      <c r="I34" s="1045">
        <f>'7&amp;8 Day'!AD100</f>
        <v>0</v>
      </c>
      <c r="J34" s="1045">
        <f>'7&amp;8 Day'!AD152</f>
        <v>0</v>
      </c>
      <c r="K34" s="1045">
        <f>'7&amp;8 Day'!AD204</f>
        <v>0</v>
      </c>
      <c r="L34" s="1045">
        <f>'7&amp;8 Day'!AD257</f>
        <v>0</v>
      </c>
      <c r="M34" s="1046">
        <f>'7&amp;8 Day'!AD310</f>
        <v>0</v>
      </c>
      <c r="N34" s="1044">
        <v>0</v>
      </c>
      <c r="O34" s="1045">
        <f>'7&amp;8 SU'!AD100</f>
        <v>0</v>
      </c>
      <c r="P34" s="1045">
        <f>'7&amp;8 SU'!AD152</f>
        <v>0</v>
      </c>
      <c r="Q34" s="1045">
        <f>'7&amp;8 SU'!AD204</f>
        <v>0</v>
      </c>
      <c r="R34" s="1045">
        <f>'7&amp;8 SU'!AD257</f>
        <v>0</v>
      </c>
      <c r="S34" s="1046">
        <f>'7&amp;8 SU'!AD310</f>
        <v>0.19242708431144412</v>
      </c>
    </row>
    <row r="35" spans="1:19" x14ac:dyDescent="0.25">
      <c r="A35" s="1034">
        <v>2032</v>
      </c>
      <c r="B35" s="1037">
        <v>0</v>
      </c>
      <c r="C35" s="1038">
        <f>'7&amp;8 Sleep'!AD101</f>
        <v>0</v>
      </c>
      <c r="D35" s="1038">
        <f>'7&amp;8 Sleep'!AD153</f>
        <v>0</v>
      </c>
      <c r="E35" s="1038">
        <f>'7&amp;8 Sleep'!AD205</f>
        <v>0</v>
      </c>
      <c r="F35" s="1038">
        <f>'7&amp;8 Sleep'!AD258</f>
        <v>0</v>
      </c>
      <c r="G35" s="1039">
        <f>'7&amp;8 Sleep'!AD311</f>
        <v>0</v>
      </c>
      <c r="H35" s="1037">
        <v>0</v>
      </c>
      <c r="I35" s="1038">
        <f>'7&amp;8 Day'!AD101</f>
        <v>0</v>
      </c>
      <c r="J35" s="1038">
        <f>'7&amp;8 Day'!AD153</f>
        <v>0</v>
      </c>
      <c r="K35" s="1038">
        <f>'7&amp;8 Day'!AD205</f>
        <v>0</v>
      </c>
      <c r="L35" s="1038">
        <f>'7&amp;8 Day'!AD258</f>
        <v>0</v>
      </c>
      <c r="M35" s="1039">
        <f>'7&amp;8 Day'!AD311</f>
        <v>0.13392789570633432</v>
      </c>
      <c r="N35" s="1037">
        <v>0</v>
      </c>
      <c r="O35" s="1038">
        <f>'7&amp;8 SU'!AD101</f>
        <v>0</v>
      </c>
      <c r="P35" s="1038">
        <f>'7&amp;8 SU'!AD153</f>
        <v>0</v>
      </c>
      <c r="Q35" s="1038">
        <f>'7&amp;8 SU'!AD205</f>
        <v>0</v>
      </c>
      <c r="R35" s="1038">
        <f>'7&amp;8 SU'!AD258</f>
        <v>0</v>
      </c>
      <c r="S35" s="1039">
        <f>'7&amp;8 SU'!AD311</f>
        <v>0.19763787678295475</v>
      </c>
    </row>
    <row r="36" spans="1:19" x14ac:dyDescent="0.25">
      <c r="A36" s="1034">
        <v>2033</v>
      </c>
      <c r="B36" s="1037">
        <v>0</v>
      </c>
      <c r="C36" s="1038">
        <f>'7&amp;8 Sleep'!AD102</f>
        <v>0</v>
      </c>
      <c r="D36" s="1038">
        <f>'7&amp;8 Sleep'!AD154</f>
        <v>0</v>
      </c>
      <c r="E36" s="1038">
        <f>'7&amp;8 Sleep'!AD206</f>
        <v>0</v>
      </c>
      <c r="F36" s="1038">
        <f>'7&amp;8 Sleep'!AD259</f>
        <v>0</v>
      </c>
      <c r="G36" s="1039">
        <f>'7&amp;8 Sleep'!AD312</f>
        <v>0</v>
      </c>
      <c r="H36" s="1037">
        <v>0</v>
      </c>
      <c r="I36" s="1038">
        <f>'7&amp;8 Day'!AD102</f>
        <v>0</v>
      </c>
      <c r="J36" s="1038">
        <f>'7&amp;8 Day'!AD154</f>
        <v>0</v>
      </c>
      <c r="K36" s="1038">
        <f>'7&amp;8 Day'!AD206</f>
        <v>0</v>
      </c>
      <c r="L36" s="1038">
        <f>'7&amp;8 Day'!AD259</f>
        <v>0</v>
      </c>
      <c r="M36" s="1039">
        <f>'7&amp;8 Day'!AD312</f>
        <v>0.1345011020718016</v>
      </c>
      <c r="N36" s="1037">
        <v>0</v>
      </c>
      <c r="O36" s="1038">
        <f>'7&amp;8 SU'!AD102</f>
        <v>0</v>
      </c>
      <c r="P36" s="1038">
        <f>'7&amp;8 SU'!AD154</f>
        <v>0</v>
      </c>
      <c r="Q36" s="1038">
        <f>'7&amp;8 SU'!AD206</f>
        <v>0</v>
      </c>
      <c r="R36" s="1038">
        <f>'7&amp;8 SU'!AD259</f>
        <v>0</v>
      </c>
      <c r="S36" s="1039">
        <f>'7&amp;8 SU'!AD312</f>
        <v>0.20279935238329994</v>
      </c>
    </row>
    <row r="37" spans="1:19" x14ac:dyDescent="0.25">
      <c r="A37" s="1034">
        <v>2034</v>
      </c>
      <c r="B37" s="1037">
        <v>0</v>
      </c>
      <c r="C37" s="1038">
        <f>'7&amp;8 Sleep'!AD103</f>
        <v>0</v>
      </c>
      <c r="D37" s="1038">
        <f>'7&amp;8 Sleep'!AD155</f>
        <v>0</v>
      </c>
      <c r="E37" s="1038">
        <f>'7&amp;8 Sleep'!AD207</f>
        <v>0</v>
      </c>
      <c r="F37" s="1038">
        <f>'7&amp;8 Sleep'!AD260</f>
        <v>0</v>
      </c>
      <c r="G37" s="1039">
        <f>'7&amp;8 Sleep'!AD313</f>
        <v>0</v>
      </c>
      <c r="H37" s="1037">
        <v>0</v>
      </c>
      <c r="I37" s="1038">
        <f>'7&amp;8 Day'!AD103</f>
        <v>0</v>
      </c>
      <c r="J37" s="1038">
        <f>'7&amp;8 Day'!AD155</f>
        <v>0</v>
      </c>
      <c r="K37" s="1038">
        <f>'7&amp;8 Day'!AD207</f>
        <v>0</v>
      </c>
      <c r="L37" s="1038">
        <f>'7&amp;8 Day'!AD260</f>
        <v>0</v>
      </c>
      <c r="M37" s="1039">
        <f>'7&amp;8 Day'!AD313</f>
        <v>0.13482920584262154</v>
      </c>
      <c r="N37" s="1037">
        <v>0</v>
      </c>
      <c r="O37" s="1038">
        <f>'7&amp;8 SU'!AD103</f>
        <v>0</v>
      </c>
      <c r="P37" s="1038">
        <f>'7&amp;8 SU'!AD155</f>
        <v>0</v>
      </c>
      <c r="Q37" s="1038">
        <f>'7&amp;8 SU'!AD207</f>
        <v>0</v>
      </c>
      <c r="R37" s="1038">
        <f>'7&amp;8 SU'!AD260</f>
        <v>0</v>
      </c>
      <c r="S37" s="1039">
        <f>'7&amp;8 SU'!AD313</f>
        <v>0.20713331509848121</v>
      </c>
    </row>
    <row r="38" spans="1:19" x14ac:dyDescent="0.25">
      <c r="A38" s="1040">
        <v>2035</v>
      </c>
      <c r="B38" s="1041">
        <v>0</v>
      </c>
      <c r="C38" s="1042">
        <f>'7&amp;8 Sleep'!AD104</f>
        <v>0</v>
      </c>
      <c r="D38" s="1042">
        <f>'7&amp;8 Sleep'!AD156</f>
        <v>0</v>
      </c>
      <c r="E38" s="1042">
        <f>'7&amp;8 Sleep'!AD208</f>
        <v>0</v>
      </c>
      <c r="F38" s="1042">
        <f>'7&amp;8 Sleep'!AD261</f>
        <v>0</v>
      </c>
      <c r="G38" s="1043">
        <f>'7&amp;8 Sleep'!AD314</f>
        <v>0</v>
      </c>
      <c r="H38" s="1041">
        <v>0</v>
      </c>
      <c r="I38" s="1042">
        <f>'7&amp;8 Day'!AD104</f>
        <v>0</v>
      </c>
      <c r="J38" s="1042">
        <f>'7&amp;8 Day'!AD156</f>
        <v>0</v>
      </c>
      <c r="K38" s="1042">
        <f>'7&amp;8 Day'!AD208</f>
        <v>0</v>
      </c>
      <c r="L38" s="1042">
        <f>'7&amp;8 Day'!AD261</f>
        <v>0</v>
      </c>
      <c r="M38" s="1043">
        <f>'7&amp;8 Day'!AD314</f>
        <v>0.13571717339787348</v>
      </c>
      <c r="N38" s="1041">
        <v>0</v>
      </c>
      <c r="O38" s="1042">
        <f>'7&amp;8 SU'!AD104</f>
        <v>0</v>
      </c>
      <c r="P38" s="1042">
        <f>'7&amp;8 SU'!AD156</f>
        <v>0</v>
      </c>
      <c r="Q38" s="1042">
        <f>'7&amp;8 SU'!AD208</f>
        <v>0</v>
      </c>
      <c r="R38" s="1042">
        <f>'7&amp;8 SU'!AD261</f>
        <v>0</v>
      </c>
      <c r="S38" s="1043">
        <f>'7&amp;8 SU'!AD314</f>
        <v>0.21400817793496263</v>
      </c>
    </row>
    <row r="39" spans="1:19" x14ac:dyDescent="0.25">
      <c r="A39" s="1034">
        <v>2036</v>
      </c>
      <c r="B39" s="1044">
        <v>0</v>
      </c>
      <c r="C39" s="1045">
        <f>'7&amp;8 Sleep'!AD105</f>
        <v>0</v>
      </c>
      <c r="D39" s="1045">
        <f>'7&amp;8 Sleep'!AD157</f>
        <v>0</v>
      </c>
      <c r="E39" s="1045">
        <f>'7&amp;8 Sleep'!AD209</f>
        <v>0</v>
      </c>
      <c r="F39" s="1045">
        <f>'7&amp;8 Sleep'!AD262</f>
        <v>0</v>
      </c>
      <c r="G39" s="1046">
        <f>'7&amp;8 Sleep'!AD315</f>
        <v>0</v>
      </c>
      <c r="H39" s="1044">
        <v>0</v>
      </c>
      <c r="I39" s="1045">
        <f>'7&amp;8 Day'!AD105</f>
        <v>0</v>
      </c>
      <c r="J39" s="1045">
        <f>'7&amp;8 Day'!AD157</f>
        <v>0</v>
      </c>
      <c r="K39" s="1045">
        <f>'7&amp;8 Day'!AD209</f>
        <v>0</v>
      </c>
      <c r="L39" s="1045">
        <f>'7&amp;8 Day'!AD262</f>
        <v>0</v>
      </c>
      <c r="M39" s="1046">
        <f>'7&amp;8 Day'!AD315</f>
        <v>0.13923638122219062</v>
      </c>
      <c r="N39" s="1044">
        <v>0</v>
      </c>
      <c r="O39" s="1045">
        <f>'7&amp;8 SU'!AD105</f>
        <v>0</v>
      </c>
      <c r="P39" s="1045">
        <f>'7&amp;8 SU'!AD157</f>
        <v>0</v>
      </c>
      <c r="Q39" s="1045">
        <f>'7&amp;8 SU'!AD209</f>
        <v>0</v>
      </c>
      <c r="R39" s="1045">
        <f>'7&amp;8 SU'!AD262</f>
        <v>0</v>
      </c>
      <c r="S39" s="1046">
        <f>'7&amp;8 SU'!AD315</f>
        <v>0.22363910302337786</v>
      </c>
    </row>
    <row r="40" spans="1:19" x14ac:dyDescent="0.25">
      <c r="A40" s="1034">
        <v>2037</v>
      </c>
      <c r="B40" s="1037">
        <v>0</v>
      </c>
      <c r="C40" s="1038">
        <f>'7&amp;8 Sleep'!AD106</f>
        <v>0</v>
      </c>
      <c r="D40" s="1038">
        <f>'7&amp;8 Sleep'!AD158</f>
        <v>0</v>
      </c>
      <c r="E40" s="1038">
        <f>'7&amp;8 Sleep'!AD210</f>
        <v>0</v>
      </c>
      <c r="F40" s="1038">
        <f>'7&amp;8 Sleep'!AD263</f>
        <v>0</v>
      </c>
      <c r="G40" s="1039">
        <f>'7&amp;8 Sleep'!AD316</f>
        <v>0</v>
      </c>
      <c r="H40" s="1037">
        <v>0</v>
      </c>
      <c r="I40" s="1038">
        <f>'7&amp;8 Day'!AD106</f>
        <v>0</v>
      </c>
      <c r="J40" s="1038">
        <f>'7&amp;8 Day'!AD158</f>
        <v>0</v>
      </c>
      <c r="K40" s="1038">
        <f>'7&amp;8 Day'!AD210</f>
        <v>0</v>
      </c>
      <c r="L40" s="1038">
        <f>'7&amp;8 Day'!AD263</f>
        <v>0</v>
      </c>
      <c r="M40" s="1039">
        <f>'7&amp;8 Day'!AD316</f>
        <v>0.14152433353167007</v>
      </c>
      <c r="N40" s="1037">
        <v>0</v>
      </c>
      <c r="O40" s="1038">
        <f>'7&amp;8 SU'!AD106</f>
        <v>0</v>
      </c>
      <c r="P40" s="1038">
        <f>'7&amp;8 SU'!AD158</f>
        <v>0</v>
      </c>
      <c r="Q40" s="1038">
        <f>'7&amp;8 SU'!AD210</f>
        <v>0</v>
      </c>
      <c r="R40" s="1038">
        <f>'7&amp;8 SU'!AD263</f>
        <v>0</v>
      </c>
      <c r="S40" s="1039">
        <f>'7&amp;8 SU'!AD316</f>
        <v>0.22984960805171092</v>
      </c>
    </row>
    <row r="41" spans="1:19" x14ac:dyDescent="0.25">
      <c r="A41" s="1034">
        <v>2038</v>
      </c>
      <c r="B41" s="1037">
        <v>0</v>
      </c>
      <c r="C41" s="1038">
        <f>'7&amp;8 Sleep'!AD107</f>
        <v>0</v>
      </c>
      <c r="D41" s="1038">
        <f>'7&amp;8 Sleep'!AD159</f>
        <v>0</v>
      </c>
      <c r="E41" s="1038">
        <f>'7&amp;8 Sleep'!AD211</f>
        <v>0</v>
      </c>
      <c r="F41" s="1038">
        <f>'7&amp;8 Sleep'!AD264</f>
        <v>0</v>
      </c>
      <c r="G41" s="1039">
        <f>'7&amp;8 Sleep'!AD317</f>
        <v>0</v>
      </c>
      <c r="H41" s="1037">
        <v>0</v>
      </c>
      <c r="I41" s="1038">
        <f>'7&amp;8 Day'!AD107</f>
        <v>0</v>
      </c>
      <c r="J41" s="1038">
        <f>'7&amp;8 Day'!AD159</f>
        <v>0</v>
      </c>
      <c r="K41" s="1038">
        <f>'7&amp;8 Day'!AD211</f>
        <v>0</v>
      </c>
      <c r="L41" s="1038">
        <f>'7&amp;8 Day'!AD264</f>
        <v>0</v>
      </c>
      <c r="M41" s="1039">
        <f>'7&amp;8 Day'!AD317</f>
        <v>0.14623625818257646</v>
      </c>
      <c r="N41" s="1037">
        <v>0</v>
      </c>
      <c r="O41" s="1038">
        <f>'7&amp;8 SU'!AD107</f>
        <v>0</v>
      </c>
      <c r="P41" s="1038">
        <f>'7&amp;8 SU'!AD159</f>
        <v>0</v>
      </c>
      <c r="Q41" s="1038">
        <f>'7&amp;8 SU'!AD211</f>
        <v>0</v>
      </c>
      <c r="R41" s="1038">
        <f>'7&amp;8 SU'!AD264</f>
        <v>0</v>
      </c>
      <c r="S41" s="1039">
        <f>'7&amp;8 SU'!AD317</f>
        <v>0.23972968356705965</v>
      </c>
    </row>
    <row r="42" spans="1:19" x14ac:dyDescent="0.25">
      <c r="A42" s="1034">
        <v>2039</v>
      </c>
      <c r="B42" s="1037">
        <v>0</v>
      </c>
      <c r="C42" s="1038">
        <f>'7&amp;8 Sleep'!AD108</f>
        <v>0</v>
      </c>
      <c r="D42" s="1038">
        <f>'7&amp;8 Sleep'!AD160</f>
        <v>0</v>
      </c>
      <c r="E42" s="1038">
        <f>'7&amp;8 Sleep'!AD212</f>
        <v>0</v>
      </c>
      <c r="F42" s="1038">
        <f>'7&amp;8 Sleep'!AD265</f>
        <v>0</v>
      </c>
      <c r="G42" s="1039">
        <f>'7&amp;8 Sleep'!AD318</f>
        <v>0</v>
      </c>
      <c r="H42" s="1037">
        <v>0</v>
      </c>
      <c r="I42" s="1038">
        <f>'7&amp;8 Day'!AD108</f>
        <v>0</v>
      </c>
      <c r="J42" s="1038">
        <f>'7&amp;8 Day'!AD160</f>
        <v>0</v>
      </c>
      <c r="K42" s="1038">
        <f>'7&amp;8 Day'!AD212</f>
        <v>0</v>
      </c>
      <c r="L42" s="1038">
        <f>'7&amp;8 Day'!AD265</f>
        <v>0</v>
      </c>
      <c r="M42" s="1039">
        <f>'7&amp;8 Day'!AD318</f>
        <v>0.15388923044846639</v>
      </c>
      <c r="N42" s="1037">
        <v>0</v>
      </c>
      <c r="O42" s="1038">
        <f>'7&amp;8 SU'!AD108</f>
        <v>0</v>
      </c>
      <c r="P42" s="1038">
        <f>'7&amp;8 SU'!AD160</f>
        <v>0</v>
      </c>
      <c r="Q42" s="1038">
        <f>'7&amp;8 SU'!AD212</f>
        <v>0</v>
      </c>
      <c r="R42" s="1038">
        <f>'7&amp;8 SU'!AD265</f>
        <v>0</v>
      </c>
      <c r="S42" s="1039">
        <f>'7&amp;8 SU'!AD318</f>
        <v>0.25471319537515863</v>
      </c>
    </row>
    <row r="43" spans="1:19" x14ac:dyDescent="0.25">
      <c r="A43" s="1040">
        <v>2040</v>
      </c>
      <c r="B43" s="1041">
        <v>0</v>
      </c>
      <c r="C43" s="1042">
        <f>'7&amp;8 Sleep'!AD109</f>
        <v>0</v>
      </c>
      <c r="D43" s="1042">
        <f>'7&amp;8 Sleep'!AD161</f>
        <v>0</v>
      </c>
      <c r="E43" s="1042">
        <f>'7&amp;8 Sleep'!AD213</f>
        <v>0</v>
      </c>
      <c r="F43" s="1042">
        <f>'7&amp;8 Sleep'!AD266</f>
        <v>0</v>
      </c>
      <c r="G43" s="1043">
        <f>'7&amp;8 Sleep'!AD319</f>
        <v>0</v>
      </c>
      <c r="H43" s="1063">
        <v>0</v>
      </c>
      <c r="I43" s="1064">
        <f>'7&amp;8 Day'!AD109</f>
        <v>0</v>
      </c>
      <c r="J43" s="1064">
        <f>'7&amp;8 Day'!AD161</f>
        <v>0</v>
      </c>
      <c r="K43" s="1064">
        <f>'7&amp;8 Day'!AD213</f>
        <v>0</v>
      </c>
      <c r="L43" s="1064">
        <f>'7&amp;8 Day'!AD266</f>
        <v>0</v>
      </c>
      <c r="M43" s="1065">
        <f>'7&amp;8 Day'!AD319</f>
        <v>0.1685244189182924</v>
      </c>
      <c r="N43" s="1037">
        <v>0</v>
      </c>
      <c r="O43" s="1064">
        <f>'7&amp;8 SU'!AD109</f>
        <v>0</v>
      </c>
      <c r="P43" s="1064">
        <f>'7&amp;8 SU'!AD161</f>
        <v>0</v>
      </c>
      <c r="Q43" s="1064">
        <f>'7&amp;8 SU'!AD213</f>
        <v>0</v>
      </c>
      <c r="R43" s="1064">
        <f>'7&amp;8 SU'!AD266</f>
        <v>0</v>
      </c>
      <c r="S43" s="1065">
        <f>'7&amp;8 SU'!AD319</f>
        <v>0.27562388941944516</v>
      </c>
    </row>
    <row r="44" spans="1:19" x14ac:dyDescent="0.25">
      <c r="A44" s="1034">
        <v>2041</v>
      </c>
      <c r="B44" s="1044">
        <v>0</v>
      </c>
      <c r="C44" s="1045">
        <f>'7&amp;8 Sleep'!AD110</f>
        <v>0</v>
      </c>
      <c r="D44" s="1045">
        <f>'7&amp;8 Sleep'!AD162</f>
        <v>0</v>
      </c>
      <c r="E44" s="1045">
        <f>'7&amp;8 Sleep'!AD214</f>
        <v>0</v>
      </c>
      <c r="F44" s="1045">
        <f>'7&amp;8 Sleep'!AD267</f>
        <v>0</v>
      </c>
      <c r="G44" s="1046">
        <f>'7&amp;8 Sleep'!AD320</f>
        <v>0</v>
      </c>
      <c r="H44" s="1044">
        <v>0</v>
      </c>
      <c r="I44" s="1045">
        <f>'7&amp;8 Day'!AD110</f>
        <v>0</v>
      </c>
      <c r="J44" s="1045">
        <f>'7&amp;8 Day'!AD162</f>
        <v>0</v>
      </c>
      <c r="K44" s="1045">
        <f>'7&amp;8 Day'!AD214</f>
        <v>0</v>
      </c>
      <c r="L44" s="1045">
        <f>'7&amp;8 Day'!AD267</f>
        <v>0</v>
      </c>
      <c r="M44" s="1046">
        <f>'7&amp;8 Day'!AD320</f>
        <v>0.19447691901581551</v>
      </c>
      <c r="N44" s="1044">
        <v>0</v>
      </c>
      <c r="O44" s="1045">
        <f>'7&amp;8 SU'!AD110</f>
        <v>0</v>
      </c>
      <c r="P44" s="1045">
        <f>'7&amp;8 SU'!AD162</f>
        <v>0</v>
      </c>
      <c r="Q44" s="1045">
        <f>'7&amp;8 SU'!AD214</f>
        <v>0</v>
      </c>
      <c r="R44" s="1045">
        <f>'7&amp;8 SU'!AD267</f>
        <v>0</v>
      </c>
      <c r="S44" s="1046">
        <f>'7&amp;8 SU'!AD320</f>
        <v>0.31052855674374102</v>
      </c>
    </row>
    <row r="45" spans="1:19" x14ac:dyDescent="0.25">
      <c r="A45" s="1034">
        <v>2042</v>
      </c>
      <c r="B45" s="1037">
        <v>0</v>
      </c>
      <c r="C45" s="1038">
        <f>'7&amp;8 Sleep'!AD111</f>
        <v>0</v>
      </c>
      <c r="D45" s="1038">
        <f>'7&amp;8 Sleep'!AD163</f>
        <v>0</v>
      </c>
      <c r="E45" s="1038">
        <f>'7&amp;8 Sleep'!AD215</f>
        <v>0</v>
      </c>
      <c r="F45" s="1038">
        <f>'7&amp;8 Sleep'!AD268</f>
        <v>0</v>
      </c>
      <c r="G45" s="1039">
        <f>'7&amp;8 Sleep'!AD321</f>
        <v>0.30131375473985933</v>
      </c>
      <c r="H45" s="1037">
        <v>0</v>
      </c>
      <c r="I45" s="1038">
        <f>'7&amp;8 Day'!AD111</f>
        <v>0</v>
      </c>
      <c r="J45" s="1038">
        <f>'7&amp;8 Day'!AD163</f>
        <v>0</v>
      </c>
      <c r="K45" s="1038">
        <f>'7&amp;8 Day'!AD215</f>
        <v>0</v>
      </c>
      <c r="L45" s="1038">
        <f>'7&amp;8 Day'!AD268</f>
        <v>0</v>
      </c>
      <c r="M45" s="1039">
        <f>'7&amp;8 Day'!AD321</f>
        <v>0.23212249806771046</v>
      </c>
      <c r="N45" s="1037">
        <v>0</v>
      </c>
      <c r="O45" s="1038">
        <f>'7&amp;8 SU'!AD111</f>
        <v>0</v>
      </c>
      <c r="P45" s="1038">
        <f>'7&amp;8 SU'!AD163</f>
        <v>0</v>
      </c>
      <c r="Q45" s="1038">
        <f>'7&amp;8 SU'!AD215</f>
        <v>0</v>
      </c>
      <c r="R45" s="1038">
        <f>'7&amp;8 SU'!AD268</f>
        <v>0</v>
      </c>
      <c r="S45" s="1039">
        <f>'7&amp;8 SU'!AD321</f>
        <v>0.36092749400192614</v>
      </c>
    </row>
    <row r="46" spans="1:19" x14ac:dyDescent="0.25">
      <c r="A46" s="1034">
        <v>2043</v>
      </c>
      <c r="B46" s="1037">
        <v>0</v>
      </c>
      <c r="C46" s="1038">
        <f>'7&amp;8 Sleep'!AD112</f>
        <v>0</v>
      </c>
      <c r="D46" s="1038">
        <f>'7&amp;8 Sleep'!AD164</f>
        <v>0</v>
      </c>
      <c r="E46" s="1038">
        <f>'7&amp;8 Sleep'!AD216</f>
        <v>0</v>
      </c>
      <c r="F46" s="1038">
        <f>'7&amp;8 Sleep'!AD269</f>
        <v>0</v>
      </c>
      <c r="G46" s="1039">
        <f>'7&amp;8 Sleep'!AD322</f>
        <v>0.32649362466605586</v>
      </c>
      <c r="H46" s="1037">
        <v>0</v>
      </c>
      <c r="I46" s="1038">
        <f>'7&amp;8 Day'!AD112</f>
        <v>0</v>
      </c>
      <c r="J46" s="1038">
        <f>'7&amp;8 Day'!AD164</f>
        <v>0</v>
      </c>
      <c r="K46" s="1038">
        <f>'7&amp;8 Day'!AD216</f>
        <v>0</v>
      </c>
      <c r="L46" s="1038">
        <f>'7&amp;8 Day'!AD269</f>
        <v>0</v>
      </c>
      <c r="M46" s="1039">
        <f>'7&amp;8 Day'!AD322</f>
        <v>0.27638041341670161</v>
      </c>
      <c r="N46" s="1037">
        <v>0</v>
      </c>
      <c r="O46" s="1038">
        <f>'7&amp;8 SU'!AD112</f>
        <v>0</v>
      </c>
      <c r="P46" s="1038">
        <f>'7&amp;8 SU'!AD164</f>
        <v>0</v>
      </c>
      <c r="Q46" s="1038">
        <f>'7&amp;8 SU'!AD216</f>
        <v>0</v>
      </c>
      <c r="R46" s="1038">
        <f>'7&amp;8 SU'!AD269</f>
        <v>0</v>
      </c>
      <c r="S46" s="1039">
        <f>'7&amp;8 SU'!AD322</f>
        <v>0.42740819103277983</v>
      </c>
    </row>
    <row r="47" spans="1:19" x14ac:dyDescent="0.25">
      <c r="A47" s="1034">
        <v>2044</v>
      </c>
      <c r="B47" s="1037">
        <v>0</v>
      </c>
      <c r="C47" s="1038">
        <f>'7&amp;8 Sleep'!AD113</f>
        <v>0</v>
      </c>
      <c r="D47" s="1038">
        <f>'7&amp;8 Sleep'!AD165</f>
        <v>0</v>
      </c>
      <c r="E47" s="1038">
        <f>'7&amp;8 Sleep'!AD217</f>
        <v>0</v>
      </c>
      <c r="F47" s="1038">
        <f>'7&amp;8 Sleep'!AD270</f>
        <v>0</v>
      </c>
      <c r="G47" s="1039">
        <f>'7&amp;8 Sleep'!AD323</f>
        <v>0.41854836780742133</v>
      </c>
      <c r="H47" s="1037">
        <v>0</v>
      </c>
      <c r="I47" s="1038">
        <f>'7&amp;8 Day'!AD113</f>
        <v>0</v>
      </c>
      <c r="J47" s="1038">
        <f>'7&amp;8 Day'!AD165</f>
        <v>0</v>
      </c>
      <c r="K47" s="1038">
        <f>'7&amp;8 Day'!AD217</f>
        <v>0</v>
      </c>
      <c r="L47" s="1038">
        <f>'7&amp;8 Day'!AD270</f>
        <v>0</v>
      </c>
      <c r="M47" s="1039">
        <f>'7&amp;8 Day'!AD323</f>
        <v>0.3238070821515121</v>
      </c>
      <c r="N47" s="1037">
        <v>0</v>
      </c>
      <c r="O47" s="1038">
        <f>'7&amp;8 SU'!AD113</f>
        <v>0</v>
      </c>
      <c r="P47" s="1038">
        <f>'7&amp;8 SU'!AD165</f>
        <v>0</v>
      </c>
      <c r="Q47" s="1038">
        <f>'7&amp;8 SU'!AD217</f>
        <v>0</v>
      </c>
      <c r="R47" s="1038">
        <f>'7&amp;8 SU'!AD270</f>
        <v>0</v>
      </c>
      <c r="S47" s="1039">
        <f>'7&amp;8 SU'!AD323</f>
        <v>0.51212452436826772</v>
      </c>
    </row>
    <row r="48" spans="1:19" x14ac:dyDescent="0.25">
      <c r="A48" s="1040">
        <v>2045</v>
      </c>
      <c r="B48" s="1041">
        <v>0</v>
      </c>
      <c r="C48" s="1042">
        <f>'7&amp;8 Sleep'!AD114</f>
        <v>0</v>
      </c>
      <c r="D48" s="1042">
        <f>'7&amp;8 Sleep'!AD166</f>
        <v>0</v>
      </c>
      <c r="E48" s="1042">
        <f>'7&amp;8 Sleep'!AD218</f>
        <v>0</v>
      </c>
      <c r="F48" s="1042">
        <f>'7&amp;8 Sleep'!AD271</f>
        <v>0</v>
      </c>
      <c r="G48" s="1043">
        <f>'7&amp;8 Sleep'!AD324</f>
        <v>0.53128201401392805</v>
      </c>
      <c r="H48" s="1041">
        <v>0</v>
      </c>
      <c r="I48" s="1042">
        <f>'7&amp;8 Day'!AD114</f>
        <v>0</v>
      </c>
      <c r="J48" s="1042">
        <f>'7&amp;8 Day'!AD166</f>
        <v>0</v>
      </c>
      <c r="K48" s="1042">
        <f>'7&amp;8 Day'!AD218</f>
        <v>0</v>
      </c>
      <c r="L48" s="1042">
        <f>'7&amp;8 Day'!AD271</f>
        <v>0</v>
      </c>
      <c r="M48" s="1043">
        <f>'7&amp;8 Day'!AD324</f>
        <v>0.36224427496860256</v>
      </c>
      <c r="N48" s="1041">
        <v>0</v>
      </c>
      <c r="O48" s="1042">
        <f>'7&amp;8 SU'!AD114</f>
        <v>0</v>
      </c>
      <c r="P48" s="1042">
        <f>'7&amp;8 SU'!AD166</f>
        <v>0</v>
      </c>
      <c r="Q48" s="1042">
        <f>'7&amp;8 SU'!AD218</f>
        <v>0</v>
      </c>
      <c r="R48" s="1042">
        <f>'7&amp;8 SU'!AD271</f>
        <v>0</v>
      </c>
      <c r="S48" s="1043">
        <f>'7&amp;8 SU'!AD324</f>
        <v>0.61226878207511559</v>
      </c>
    </row>
    <row r="49" spans="1:19" x14ac:dyDescent="0.25">
      <c r="A49" s="1034">
        <v>2046</v>
      </c>
      <c r="B49" s="1044">
        <v>0</v>
      </c>
      <c r="C49" s="1045">
        <f>'7&amp;8 Sleep'!AD115</f>
        <v>0</v>
      </c>
      <c r="D49" s="1045">
        <f>'7&amp;8 Sleep'!AD167</f>
        <v>0</v>
      </c>
      <c r="E49" s="1045">
        <f>'7&amp;8 Sleep'!AD219</f>
        <v>0</v>
      </c>
      <c r="F49" s="1045">
        <f>'7&amp;8 Sleep'!AD272</f>
        <v>0</v>
      </c>
      <c r="G49" s="1046">
        <f>'7&amp;8 Sleep'!AD325</f>
        <v>0.58381433298461205</v>
      </c>
      <c r="H49" s="1044">
        <v>0</v>
      </c>
      <c r="I49" s="1045">
        <f>'7&amp;8 Day'!AD115</f>
        <v>0</v>
      </c>
      <c r="J49" s="1045">
        <f>'7&amp;8 Day'!AD167</f>
        <v>0</v>
      </c>
      <c r="K49" s="1045">
        <f>'7&amp;8 Day'!AD219</f>
        <v>0</v>
      </c>
      <c r="L49" s="1045">
        <f>'7&amp;8 Day'!AD272</f>
        <v>0</v>
      </c>
      <c r="M49" s="1046">
        <f>'7&amp;8 Day'!AD325</f>
        <v>0.3882703241946705</v>
      </c>
      <c r="N49" s="1044">
        <v>0</v>
      </c>
      <c r="O49" s="1045">
        <f>'7&amp;8 SU'!AD115</f>
        <v>0</v>
      </c>
      <c r="P49" s="1045">
        <f>'7&amp;8 SU'!AD167</f>
        <v>0</v>
      </c>
      <c r="Q49" s="1045">
        <f>'7&amp;8 SU'!AD219</f>
        <v>0</v>
      </c>
      <c r="R49" s="1045">
        <f>'7&amp;8 SU'!AD272</f>
        <v>0</v>
      </c>
      <c r="S49" s="1046">
        <f>'7&amp;8 SU'!AD325</f>
        <v>0.67679128787189735</v>
      </c>
    </row>
    <row r="50" spans="1:19" x14ac:dyDescent="0.25">
      <c r="A50" s="1034">
        <v>2047</v>
      </c>
      <c r="B50" s="1037">
        <v>0</v>
      </c>
      <c r="C50" s="1038">
        <f>'7&amp;8 Sleep'!AD116</f>
        <v>0</v>
      </c>
      <c r="D50" s="1038">
        <f>'7&amp;8 Sleep'!AD168</f>
        <v>0</v>
      </c>
      <c r="E50" s="1038">
        <f>'7&amp;8 Sleep'!AD220</f>
        <v>0</v>
      </c>
      <c r="F50" s="1038">
        <f>'7&amp;8 Sleep'!AD273</f>
        <v>0</v>
      </c>
      <c r="G50" s="1039">
        <f>'7&amp;8 Sleep'!AD326</f>
        <v>0.6113284527991304</v>
      </c>
      <c r="H50" s="1037">
        <v>0</v>
      </c>
      <c r="I50" s="1038">
        <f>'7&amp;8 Day'!AD116</f>
        <v>0</v>
      </c>
      <c r="J50" s="1038">
        <f>'7&amp;8 Day'!AD168</f>
        <v>0</v>
      </c>
      <c r="K50" s="1038">
        <f>'7&amp;8 Day'!AD220</f>
        <v>0</v>
      </c>
      <c r="L50" s="1038">
        <f>'7&amp;8 Day'!AD273</f>
        <v>0</v>
      </c>
      <c r="M50" s="1039">
        <f>'7&amp;8 Day'!AD326</f>
        <v>0.40391167396266503</v>
      </c>
      <c r="N50" s="1037">
        <v>0</v>
      </c>
      <c r="O50" s="1038">
        <f>'7&amp;8 SU'!AD116</f>
        <v>0</v>
      </c>
      <c r="P50" s="1038">
        <f>'7&amp;8 SU'!AD168</f>
        <v>0</v>
      </c>
      <c r="Q50" s="1038">
        <f>'7&amp;8 SU'!AD220</f>
        <v>0</v>
      </c>
      <c r="R50" s="1038">
        <f>'7&amp;8 SU'!AD273</f>
        <v>0</v>
      </c>
      <c r="S50" s="1039">
        <f>'7&amp;8 SU'!AD326</f>
        <v>0.71429698642257433</v>
      </c>
    </row>
    <row r="51" spans="1:19" x14ac:dyDescent="0.25">
      <c r="A51" s="1034">
        <v>2048</v>
      </c>
      <c r="B51" s="1037">
        <v>0</v>
      </c>
      <c r="C51" s="1038">
        <f>'7&amp;8 Sleep'!AD117</f>
        <v>0</v>
      </c>
      <c r="D51" s="1038">
        <f>'7&amp;8 Sleep'!AD169</f>
        <v>0</v>
      </c>
      <c r="E51" s="1038">
        <f>'7&amp;8 Sleep'!AD221</f>
        <v>0</v>
      </c>
      <c r="F51" s="1038">
        <f>'7&amp;8 Sleep'!AD274</f>
        <v>0</v>
      </c>
      <c r="G51" s="1039">
        <f>'7&amp;8 Sleep'!AD327</f>
        <v>0.62601685636837123</v>
      </c>
      <c r="H51" s="1037">
        <v>0</v>
      </c>
      <c r="I51" s="1038">
        <f>'7&amp;8 Day'!AD117</f>
        <v>0</v>
      </c>
      <c r="J51" s="1038">
        <f>'7&amp;8 Day'!AD169</f>
        <v>0</v>
      </c>
      <c r="K51" s="1038">
        <f>'7&amp;8 Day'!AD221</f>
        <v>0</v>
      </c>
      <c r="L51" s="1038">
        <f>'7&amp;8 Day'!AD274</f>
        <v>0</v>
      </c>
      <c r="M51" s="1039">
        <f>'7&amp;8 Day'!AD327</f>
        <v>0.41232971957602571</v>
      </c>
      <c r="N51" s="1037">
        <v>0</v>
      </c>
      <c r="O51" s="1038">
        <f>'7&amp;8 SU'!AD117</f>
        <v>0</v>
      </c>
      <c r="P51" s="1038">
        <f>'7&amp;8 SU'!AD169</f>
        <v>0</v>
      </c>
      <c r="Q51" s="1038">
        <f>'7&amp;8 SU'!AD221</f>
        <v>0</v>
      </c>
      <c r="R51" s="1038">
        <f>'7&amp;8 SU'!AD274</f>
        <v>0</v>
      </c>
      <c r="S51" s="1039">
        <f>'7&amp;8 SU'!AD327</f>
        <v>0.73021049411068639</v>
      </c>
    </row>
    <row r="52" spans="1:19" x14ac:dyDescent="0.25">
      <c r="A52" s="1034">
        <v>2049</v>
      </c>
      <c r="B52" s="1037">
        <v>0</v>
      </c>
      <c r="C52" s="1038">
        <f>'7&amp;8 Sleep'!AD118</f>
        <v>0</v>
      </c>
      <c r="D52" s="1038">
        <f>'7&amp;8 Sleep'!AD170</f>
        <v>0</v>
      </c>
      <c r="E52" s="1038">
        <f>'7&amp;8 Sleep'!AD222</f>
        <v>0</v>
      </c>
      <c r="F52" s="1038">
        <f>'7&amp;8 Sleep'!AD275</f>
        <v>0</v>
      </c>
      <c r="G52" s="1039">
        <f>'7&amp;8 Sleep'!AD328</f>
        <v>0.6336241410333221</v>
      </c>
      <c r="H52" s="1037">
        <v>0</v>
      </c>
      <c r="I52" s="1038">
        <f>'7&amp;8 Day'!AD118</f>
        <v>0</v>
      </c>
      <c r="J52" s="1038">
        <f>'7&amp;8 Day'!AD170</f>
        <v>0</v>
      </c>
      <c r="K52" s="1038">
        <f>'7&amp;8 Day'!AD222</f>
        <v>0</v>
      </c>
      <c r="L52" s="1038">
        <f>'7&amp;8 Day'!AD275</f>
        <v>0</v>
      </c>
      <c r="M52" s="1039">
        <f>'7&amp;8 Day'!AD328</f>
        <v>0.41805608223257595</v>
      </c>
      <c r="N52" s="1037">
        <v>0</v>
      </c>
      <c r="O52" s="1038">
        <f>'7&amp;8 SU'!AD118</f>
        <v>0</v>
      </c>
      <c r="P52" s="1038">
        <f>'7&amp;8 SU'!AD170</f>
        <v>0</v>
      </c>
      <c r="Q52" s="1038">
        <f>'7&amp;8 SU'!AD222</f>
        <v>0</v>
      </c>
      <c r="R52" s="1038">
        <f>'7&amp;8 SU'!AD275</f>
        <v>0</v>
      </c>
      <c r="S52" s="1039">
        <f>'7&amp;8 SU'!AD328</f>
        <v>0.7368912447492767</v>
      </c>
    </row>
    <row r="53" spans="1:19" ht="15.75" thickBot="1" x14ac:dyDescent="0.3">
      <c r="A53" s="1047">
        <v>2050</v>
      </c>
      <c r="B53" s="1048">
        <v>0</v>
      </c>
      <c r="C53" s="1049">
        <f>'7&amp;8 Sleep'!AD119</f>
        <v>0</v>
      </c>
      <c r="D53" s="1049">
        <f>'7&amp;8 Sleep'!AD171</f>
        <v>0</v>
      </c>
      <c r="E53" s="1049">
        <f>'7&amp;8 Sleep'!AD223</f>
        <v>0</v>
      </c>
      <c r="F53" s="1049">
        <f>'7&amp;8 Sleep'!AD276</f>
        <v>0</v>
      </c>
      <c r="G53" s="1050">
        <f>'7&amp;8 Sleep'!AD329</f>
        <v>0.64387432620864316</v>
      </c>
      <c r="H53" s="1048">
        <v>0</v>
      </c>
      <c r="I53" s="1049">
        <f>'7&amp;8 Day'!AD119</f>
        <v>0</v>
      </c>
      <c r="J53" s="1049">
        <f>'7&amp;8 Day'!AD171</f>
        <v>0</v>
      </c>
      <c r="K53" s="1049">
        <f>'7&amp;8 Day'!AD223</f>
        <v>0</v>
      </c>
      <c r="L53" s="1049">
        <f>'7&amp;8 Day'!AD276</f>
        <v>0</v>
      </c>
      <c r="M53" s="1050">
        <f>'7&amp;8 Day'!AD329</f>
        <v>0.42600415806522485</v>
      </c>
      <c r="N53" s="1048">
        <v>0</v>
      </c>
      <c r="O53" s="1049">
        <f>'7&amp;8 SU'!AD119</f>
        <v>0</v>
      </c>
      <c r="P53" s="1049">
        <f>'7&amp;8 SU'!AD171</f>
        <v>0</v>
      </c>
      <c r="Q53" s="1049">
        <f>'7&amp;8 SU'!AD223</f>
        <v>0</v>
      </c>
      <c r="R53" s="1049">
        <f>'7&amp;8 SU'!AD276</f>
        <v>0</v>
      </c>
      <c r="S53" s="1050">
        <f>'7&amp;8 SU'!AD329</f>
        <v>0.75037291329923894</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zoomScale="107" zoomScaleNormal="107" workbookViewId="0">
      <selection activeCell="AO9" sqref="AO9"/>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019" customFormat="1" ht="15.75" x14ac:dyDescent="0.25">
      <c r="A1" s="1051" t="s">
        <v>322</v>
      </c>
    </row>
    <row r="2" spans="1:48" s="1019" customFormat="1" ht="15" x14ac:dyDescent="0.25">
      <c r="A2" s="1019" t="s">
        <v>313</v>
      </c>
    </row>
    <row r="3" spans="1:48" s="1019" customFormat="1" ht="15.75" thickBot="1" x14ac:dyDescent="0.3"/>
    <row r="4" spans="1:48" s="1019" customFormat="1" ht="15" x14ac:dyDescent="0.25">
      <c r="A4" s="1020"/>
      <c r="B4" s="1596" t="s">
        <v>249</v>
      </c>
      <c r="C4" s="1597"/>
      <c r="D4" s="1597"/>
      <c r="E4" s="1597"/>
      <c r="F4" s="1597"/>
      <c r="G4" s="1598"/>
      <c r="H4" s="1596" t="s">
        <v>250</v>
      </c>
      <c r="I4" s="1597"/>
      <c r="J4" s="1597"/>
      <c r="K4" s="1597"/>
      <c r="L4" s="1597"/>
      <c r="M4" s="1598"/>
      <c r="N4" s="1596" t="s">
        <v>154</v>
      </c>
      <c r="O4" s="1597"/>
      <c r="P4" s="1597"/>
      <c r="Q4" s="1597"/>
      <c r="R4" s="1597"/>
      <c r="S4" s="1598"/>
      <c r="U4" s="1020"/>
      <c r="V4" s="1596" t="s">
        <v>249</v>
      </c>
      <c r="W4" s="1597"/>
      <c r="X4" s="1597"/>
      <c r="Y4" s="1597"/>
      <c r="Z4" s="1597"/>
      <c r="AA4" s="1598"/>
      <c r="AB4" s="1596" t="s">
        <v>250</v>
      </c>
      <c r="AC4" s="1597"/>
      <c r="AD4" s="1597"/>
      <c r="AE4" s="1597"/>
      <c r="AF4" s="1597"/>
      <c r="AG4" s="1598"/>
      <c r="AH4" s="1596" t="s">
        <v>154</v>
      </c>
      <c r="AI4" s="1597"/>
      <c r="AJ4" s="1597"/>
      <c r="AK4" s="1597"/>
      <c r="AL4" s="1597"/>
      <c r="AM4" s="1598"/>
    </row>
    <row r="5" spans="1:48" s="1019" customFormat="1" ht="15" x14ac:dyDescent="0.25">
      <c r="A5" s="1021"/>
      <c r="B5" s="1599" t="s">
        <v>129</v>
      </c>
      <c r="C5" s="1600"/>
      <c r="D5" s="1600"/>
      <c r="E5" s="1600"/>
      <c r="F5" s="1600"/>
      <c r="G5" s="1601"/>
      <c r="H5" s="1599" t="s">
        <v>129</v>
      </c>
      <c r="I5" s="1600"/>
      <c r="J5" s="1600"/>
      <c r="K5" s="1600"/>
      <c r="L5" s="1600"/>
      <c r="M5" s="1601"/>
      <c r="N5" s="1599" t="s">
        <v>129</v>
      </c>
      <c r="O5" s="1600"/>
      <c r="P5" s="1600"/>
      <c r="Q5" s="1600"/>
      <c r="R5" s="1600"/>
      <c r="S5" s="1601"/>
      <c r="U5" s="1021"/>
      <c r="V5" s="1599" t="s">
        <v>129</v>
      </c>
      <c r="W5" s="1600"/>
      <c r="X5" s="1600"/>
      <c r="Y5" s="1600"/>
      <c r="Z5" s="1600"/>
      <c r="AA5" s="1601"/>
      <c r="AB5" s="1599" t="s">
        <v>129</v>
      </c>
      <c r="AC5" s="1600"/>
      <c r="AD5" s="1600"/>
      <c r="AE5" s="1600"/>
      <c r="AF5" s="1600"/>
      <c r="AG5" s="1601"/>
      <c r="AH5" s="1599" t="s">
        <v>129</v>
      </c>
      <c r="AI5" s="1600"/>
      <c r="AJ5" s="1600"/>
      <c r="AK5" s="1600"/>
      <c r="AL5" s="1600"/>
      <c r="AM5" s="1601"/>
    </row>
    <row r="6" spans="1:48" s="1019" customFormat="1" ht="15" x14ac:dyDescent="0.25">
      <c r="A6" s="1021"/>
      <c r="B6" s="1022" t="s">
        <v>69</v>
      </c>
      <c r="C6" s="1023" t="s">
        <v>65</v>
      </c>
      <c r="D6" s="1023" t="s">
        <v>66</v>
      </c>
      <c r="E6" s="1023" t="s">
        <v>67</v>
      </c>
      <c r="F6" s="1023" t="s">
        <v>205</v>
      </c>
      <c r="G6" s="1024" t="s">
        <v>206</v>
      </c>
      <c r="H6" s="1022" t="s">
        <v>69</v>
      </c>
      <c r="I6" s="1023" t="s">
        <v>65</v>
      </c>
      <c r="J6" s="1023" t="s">
        <v>66</v>
      </c>
      <c r="K6" s="1023" t="s">
        <v>67</v>
      </c>
      <c r="L6" s="1023" t="s">
        <v>205</v>
      </c>
      <c r="M6" s="1024" t="s">
        <v>206</v>
      </c>
      <c r="N6" s="1022" t="s">
        <v>69</v>
      </c>
      <c r="O6" s="1023" t="s">
        <v>65</v>
      </c>
      <c r="P6" s="1023" t="s">
        <v>66</v>
      </c>
      <c r="Q6" s="1023" t="s">
        <v>67</v>
      </c>
      <c r="R6" s="1023" t="s">
        <v>205</v>
      </c>
      <c r="S6" s="1024" t="s">
        <v>206</v>
      </c>
      <c r="U6" s="1021"/>
      <c r="V6" s="1022" t="s">
        <v>69</v>
      </c>
      <c r="W6" s="1023" t="s">
        <v>65</v>
      </c>
      <c r="X6" s="1023" t="s">
        <v>66</v>
      </c>
      <c r="Y6" s="1023" t="s">
        <v>67</v>
      </c>
      <c r="Z6" s="1023" t="s">
        <v>205</v>
      </c>
      <c r="AA6" s="1024" t="s">
        <v>206</v>
      </c>
      <c r="AB6" s="1022" t="s">
        <v>69</v>
      </c>
      <c r="AC6" s="1023" t="s">
        <v>65</v>
      </c>
      <c r="AD6" s="1023" t="s">
        <v>66</v>
      </c>
      <c r="AE6" s="1023" t="s">
        <v>67</v>
      </c>
      <c r="AF6" s="1023" t="s">
        <v>205</v>
      </c>
      <c r="AG6" s="1024" t="s">
        <v>206</v>
      </c>
      <c r="AH6" s="1022" t="s">
        <v>69</v>
      </c>
      <c r="AI6" s="1023" t="s">
        <v>65</v>
      </c>
      <c r="AJ6" s="1023" t="s">
        <v>66</v>
      </c>
      <c r="AK6" s="1023" t="s">
        <v>67</v>
      </c>
      <c r="AL6" s="1023" t="s">
        <v>205</v>
      </c>
      <c r="AM6" s="1024" t="s">
        <v>206</v>
      </c>
    </row>
    <row r="7" spans="1:48" s="1019" customFormat="1" ht="45" customHeight="1" x14ac:dyDescent="0.25">
      <c r="A7" s="1025"/>
      <c r="B7" s="1026" t="str">
        <f t="shared" ref="B7:G7" si="0">INDEX(TECH_OPT_DESC_Cls1,MATCH(B6,TECH_OPT_ROWS_Cls1,0))</f>
        <v>Conventional Diesel ICE</v>
      </c>
      <c r="C7" s="1027" t="str">
        <f t="shared" si="0"/>
        <v>Adv Conv</v>
      </c>
      <c r="D7" s="1027" t="str">
        <f t="shared" si="0"/>
        <v>HEV</v>
      </c>
      <c r="E7" s="1027" t="str">
        <f t="shared" si="0"/>
        <v>BEV</v>
      </c>
      <c r="F7" s="1027" t="str">
        <f t="shared" si="0"/>
        <v>FCEV</v>
      </c>
      <c r="G7" s="1028" t="str">
        <f t="shared" si="0"/>
        <v>PHEV</v>
      </c>
      <c r="H7" s="1026" t="str">
        <f t="shared" ref="H7:M7" si="1">INDEX(TECH_OPT_DESC_Cls2,MATCH(H6,TECH_OPT_ROWS_Cls2,0))</f>
        <v>Conventional Diesel ICE</v>
      </c>
      <c r="I7" s="1027" t="str">
        <f t="shared" si="1"/>
        <v>Adv Conv</v>
      </c>
      <c r="J7" s="1027" t="str">
        <f t="shared" si="1"/>
        <v>HEV</v>
      </c>
      <c r="K7" s="1027" t="str">
        <f t="shared" si="1"/>
        <v>BEV</v>
      </c>
      <c r="L7" s="1027" t="str">
        <f t="shared" si="1"/>
        <v>FCEV</v>
      </c>
      <c r="M7" s="1028" t="str">
        <f t="shared" si="1"/>
        <v>PHEV</v>
      </c>
      <c r="N7" s="1026" t="str">
        <f t="shared" ref="N7:S7" si="2">INDEX(TECH_OPT_DESC_Cls3,MATCH(N6,TECH_OPT_ROWS_Cls3,0))</f>
        <v>Conventional Diesel ICE</v>
      </c>
      <c r="O7" s="1027" t="str">
        <f t="shared" si="2"/>
        <v>Adv Conv</v>
      </c>
      <c r="P7" s="1027" t="str">
        <f t="shared" si="2"/>
        <v>HEV</v>
      </c>
      <c r="Q7" s="1027" t="str">
        <f t="shared" si="2"/>
        <v>BEV</v>
      </c>
      <c r="R7" s="1027" t="str">
        <f t="shared" si="2"/>
        <v>FCEV</v>
      </c>
      <c r="S7" s="1028" t="str">
        <f t="shared" si="2"/>
        <v>PHEV</v>
      </c>
      <c r="U7" s="1025"/>
      <c r="V7" s="1026" t="str">
        <f t="shared" ref="V7:AA7" si="3">INDEX(TECH_OPT_DESC_Cls1,MATCH(V6,TECH_OPT_ROWS_Cls1,0))</f>
        <v>Conventional Diesel ICE</v>
      </c>
      <c r="W7" s="1027" t="str">
        <f t="shared" si="3"/>
        <v>Adv Conv</v>
      </c>
      <c r="X7" s="1027" t="str">
        <f t="shared" si="3"/>
        <v>HEV</v>
      </c>
      <c r="Y7" s="1027" t="str">
        <f t="shared" si="3"/>
        <v>BEV</v>
      </c>
      <c r="Z7" s="1027" t="str">
        <f t="shared" si="3"/>
        <v>FCEV</v>
      </c>
      <c r="AA7" s="1028" t="str">
        <f t="shared" si="3"/>
        <v>PHEV</v>
      </c>
      <c r="AB7" s="1026" t="str">
        <f t="shared" ref="AB7:AG7" si="4">INDEX(TECH_OPT_DESC_Cls2,MATCH(AB6,TECH_OPT_ROWS_Cls2,0))</f>
        <v>Conventional Diesel ICE</v>
      </c>
      <c r="AC7" s="1027" t="str">
        <f t="shared" si="4"/>
        <v>Adv Conv</v>
      </c>
      <c r="AD7" s="1027" t="str">
        <f t="shared" si="4"/>
        <v>HEV</v>
      </c>
      <c r="AE7" s="1027" t="str">
        <f t="shared" si="4"/>
        <v>BEV</v>
      </c>
      <c r="AF7" s="1027" t="str">
        <f t="shared" si="4"/>
        <v>FCEV</v>
      </c>
      <c r="AG7" s="1028" t="str">
        <f t="shared" si="4"/>
        <v>PHEV</v>
      </c>
      <c r="AH7" s="1026" t="str">
        <f t="shared" ref="AH7:AM7" si="5">INDEX(TECH_OPT_DESC_Cls3,MATCH(AH6,TECH_OPT_ROWS_Cls3,0))</f>
        <v>Conventional Diesel ICE</v>
      </c>
      <c r="AI7" s="1027" t="str">
        <f t="shared" si="5"/>
        <v>Adv Conv</v>
      </c>
      <c r="AJ7" s="1027" t="str">
        <f t="shared" si="5"/>
        <v>HEV</v>
      </c>
      <c r="AK7" s="1027" t="str">
        <f t="shared" si="5"/>
        <v>BEV</v>
      </c>
      <c r="AL7" s="1027" t="str">
        <f t="shared" si="5"/>
        <v>FCEV</v>
      </c>
      <c r="AM7" s="1028" t="str">
        <f t="shared" si="5"/>
        <v>PHEV</v>
      </c>
      <c r="AO7" s="1605" t="s">
        <v>371</v>
      </c>
      <c r="AP7" s="1606"/>
      <c r="AQ7" s="1607"/>
      <c r="AR7" s="1178"/>
      <c r="AS7" s="1605" t="s">
        <v>372</v>
      </c>
      <c r="AT7" s="1606"/>
      <c r="AU7" s="1606"/>
      <c r="AV7" s="1607"/>
    </row>
    <row r="8" spans="1:48" s="1019" customFormat="1" ht="15.75" thickBot="1" x14ac:dyDescent="0.3">
      <c r="A8" s="1029" t="s">
        <v>3</v>
      </c>
      <c r="B8" s="1030" t="str">
        <f t="shared" ref="B8:G8" si="6">INDEX(TECH_OPT_FUEL1_Cls1,MATCH(B6,TECH_OPT_ROWS_Cls1,0))</f>
        <v>Diesel</v>
      </c>
      <c r="C8" s="1031" t="str">
        <f t="shared" si="6"/>
        <v>Diesel</v>
      </c>
      <c r="D8" s="1031" t="str">
        <f t="shared" si="6"/>
        <v>Diesel</v>
      </c>
      <c r="E8" s="1031" t="str">
        <f t="shared" si="6"/>
        <v>Electricity</v>
      </c>
      <c r="F8" s="1031" t="str">
        <f t="shared" si="6"/>
        <v>Hydrogen</v>
      </c>
      <c r="G8" s="1032" t="str">
        <f t="shared" si="6"/>
        <v>Diesel</v>
      </c>
      <c r="H8" s="1033" t="str">
        <f t="shared" ref="H8:M8" si="7">INDEX(TECH_OPT_FUEL1_Cls2,MATCH(H6,TECH_OPT_ROWS_Cls2,0))</f>
        <v>Diesel</v>
      </c>
      <c r="I8" s="1031" t="str">
        <f t="shared" si="7"/>
        <v>Diesel</v>
      </c>
      <c r="J8" s="1031" t="str">
        <f t="shared" si="7"/>
        <v>Diesel</v>
      </c>
      <c r="K8" s="1031" t="str">
        <f t="shared" si="7"/>
        <v>Electricity</v>
      </c>
      <c r="L8" s="1031" t="str">
        <f t="shared" si="7"/>
        <v>Hydrogen</v>
      </c>
      <c r="M8" s="1032" t="str">
        <f t="shared" si="7"/>
        <v>Diesel</v>
      </c>
      <c r="N8" s="1030" t="str">
        <f t="shared" ref="N8:S8" si="8">INDEX(TECH_OPT_FUEL1_Cls3,MATCH(N6,TECH_OPT_ROWS_Cls3,0))</f>
        <v>Diesel</v>
      </c>
      <c r="O8" s="1031" t="str">
        <f t="shared" si="8"/>
        <v>Diesel</v>
      </c>
      <c r="P8" s="1031" t="str">
        <f t="shared" si="8"/>
        <v>Diesel</v>
      </c>
      <c r="Q8" s="1031" t="str">
        <f t="shared" si="8"/>
        <v>Electricity</v>
      </c>
      <c r="R8" s="1031" t="str">
        <f t="shared" si="8"/>
        <v>Hydrogen</v>
      </c>
      <c r="S8" s="1032" t="str">
        <f t="shared" si="8"/>
        <v>Diesel</v>
      </c>
      <c r="U8" s="1029" t="s">
        <v>3</v>
      </c>
      <c r="V8" s="1030" t="str">
        <f t="shared" ref="V8:AA8" si="9">INDEX(TECH_OPT_FUEL1_Cls1,MATCH(V6,TECH_OPT_ROWS_Cls1,0))</f>
        <v>Diesel</v>
      </c>
      <c r="W8" s="1031" t="str">
        <f t="shared" si="9"/>
        <v>Diesel</v>
      </c>
      <c r="X8" s="1031" t="str">
        <f t="shared" si="9"/>
        <v>Diesel</v>
      </c>
      <c r="Y8" s="1031" t="str">
        <f t="shared" si="9"/>
        <v>Electricity</v>
      </c>
      <c r="Z8" s="1031" t="str">
        <f t="shared" si="9"/>
        <v>Hydrogen</v>
      </c>
      <c r="AA8" s="1032" t="str">
        <f t="shared" si="9"/>
        <v>Diesel</v>
      </c>
      <c r="AB8" s="1033" t="str">
        <f t="shared" ref="AB8:AG8" si="10">INDEX(TECH_OPT_FUEL1_Cls2,MATCH(AB6,TECH_OPT_ROWS_Cls2,0))</f>
        <v>Diesel</v>
      </c>
      <c r="AC8" s="1031" t="str">
        <f t="shared" si="10"/>
        <v>Diesel</v>
      </c>
      <c r="AD8" s="1031" t="str">
        <f t="shared" si="10"/>
        <v>Diesel</v>
      </c>
      <c r="AE8" s="1031" t="str">
        <f t="shared" si="10"/>
        <v>Electricity</v>
      </c>
      <c r="AF8" s="1031" t="str">
        <f t="shared" si="10"/>
        <v>Hydrogen</v>
      </c>
      <c r="AG8" s="1032" t="str">
        <f t="shared" si="10"/>
        <v>Diesel</v>
      </c>
      <c r="AH8" s="1030" t="str">
        <f t="shared" ref="AH8:AM8" si="11">INDEX(TECH_OPT_FUEL1_Cls3,MATCH(AH6,TECH_OPT_ROWS_Cls3,0))</f>
        <v>Diesel</v>
      </c>
      <c r="AI8" s="1031" t="str">
        <f t="shared" si="11"/>
        <v>Diesel</v>
      </c>
      <c r="AJ8" s="1031" t="str">
        <f t="shared" si="11"/>
        <v>Diesel</v>
      </c>
      <c r="AK8" s="1031" t="str">
        <f t="shared" si="11"/>
        <v>Electricity</v>
      </c>
      <c r="AL8" s="1031" t="str">
        <f t="shared" si="11"/>
        <v>Hydrogen</v>
      </c>
      <c r="AM8" s="1032" t="str">
        <f t="shared" si="11"/>
        <v>Diesel</v>
      </c>
      <c r="AO8" s="1162" t="s">
        <v>368</v>
      </c>
      <c r="AP8" s="1163" t="s">
        <v>369</v>
      </c>
      <c r="AQ8" s="1164" t="s">
        <v>370</v>
      </c>
      <c r="AR8" s="1179"/>
      <c r="AS8" s="1162" t="s">
        <v>368</v>
      </c>
      <c r="AT8" s="1163" t="s">
        <v>369</v>
      </c>
      <c r="AU8" s="1163" t="s">
        <v>370</v>
      </c>
      <c r="AV8" s="1169" t="s">
        <v>367</v>
      </c>
    </row>
    <row r="9" spans="1:48" s="1019" customFormat="1" ht="15.75" thickTop="1" x14ac:dyDescent="0.25">
      <c r="A9" s="1034">
        <v>2007</v>
      </c>
      <c r="B9" s="1088">
        <f>IF('Mkt Pen Veh-Mi'!B9=0,1,1/((1-Fuel2ShrbyTech!B10)/'Inputs 7&amp;8 Sleep'!$N22+Fuel2ShrbyTech!B10/'Inputs 7&amp;8 Sleep'!$T22))</f>
        <v>5.9278738513698928</v>
      </c>
      <c r="C9" s="1085">
        <f>IF('Mkt Pen Veh-Mi'!C9=0,1,1/((1-Fuel2ShrbyTech!C10)/'Inputs 7&amp;8 Sleep'!$O22+Fuel2ShrbyTech!C10/'Inputs 7&amp;8 Sleep'!$U22))</f>
        <v>1</v>
      </c>
      <c r="D9" s="1085">
        <f>IF('Mkt Pen Veh-Mi'!D9=0,1,1/((1-Fuel2ShrbyTech!D10)/'Inputs 7&amp;8 Sleep'!$P22+Fuel2ShrbyTech!D10/'Inputs 7&amp;8 Sleep'!$V22))</f>
        <v>1</v>
      </c>
      <c r="E9" s="1085">
        <f>IF('Mkt Pen Veh-Mi'!E9=0,1,1/((1-Fuel2ShrbyTech!E10)/'Inputs 7&amp;8 Sleep'!$Q22+Fuel2ShrbyTech!E10/'Inputs 7&amp;8 Sleep'!$W22))</f>
        <v>1</v>
      </c>
      <c r="F9" s="1085">
        <f>IF('Mkt Pen Veh-Mi'!F9=0,1,1/((1-Fuel2ShrbyTech!F10)/'Inputs 7&amp;8 Sleep'!$R22+Fuel2ShrbyTech!F10/'Inputs 7&amp;8 Sleep'!$X22))</f>
        <v>1</v>
      </c>
      <c r="G9" s="1086">
        <f>IF('Mkt Pen Veh-Mi'!G9=0,1,1/((1-Fuel2ShrbyTech!G10)/'Inputs 7&amp;8 Sleep'!$S22+Fuel2ShrbyTech!G10/'Inputs 7&amp;8 Sleep'!$Y22))</f>
        <v>1</v>
      </c>
      <c r="H9" s="1088">
        <f>IF('Mkt Pen Veh-Mi'!H9=0,1,1/((1-Fuel2ShrbyTech!H10)/'Inputs 7&amp;8 Day'!$N22+Fuel2ShrbyTech!H10/'Inputs 7&amp;8 Day'!$T22))</f>
        <v>5.9278738513698928</v>
      </c>
      <c r="I9" s="1085">
        <f>IF('Mkt Pen Veh-Mi'!I9=0,1,1/((1-Fuel2ShrbyTech!I10)/'Inputs 7&amp;8 Day'!$O22+Fuel2ShrbyTech!I10/'Inputs 7&amp;8 Day'!$U22))</f>
        <v>1</v>
      </c>
      <c r="J9" s="1085">
        <f>IF('Mkt Pen Veh-Mi'!J9=0,1,1/((1-Fuel2ShrbyTech!J10)/'Inputs 7&amp;8 Day'!$P22+Fuel2ShrbyTech!J10/'Inputs 7&amp;8 Day'!$V22))</f>
        <v>1</v>
      </c>
      <c r="K9" s="1085">
        <f>IF('Mkt Pen Veh-Mi'!K9=0,1,1/((1-Fuel2ShrbyTech!K10)/'Inputs 7&amp;8 Day'!$Q22+Fuel2ShrbyTech!K10/'Inputs 7&amp;8 Day'!$W22))</f>
        <v>1</v>
      </c>
      <c r="L9" s="1085">
        <f>IF('Mkt Pen Veh-Mi'!L9=0,1,1/((1-Fuel2ShrbyTech!L10)/'Inputs 7&amp;8 Day'!$R22+Fuel2ShrbyTech!L10/'Inputs 7&amp;8 Day'!$X22))</f>
        <v>1</v>
      </c>
      <c r="M9" s="1086">
        <f>IF('Mkt Pen Veh-Mi'!M9=0,1,1/((1-Fuel2ShrbyTech!M10)/'Inputs 7&amp;8 Day'!$S22+Fuel2ShrbyTech!M10/'Inputs 7&amp;8 Day'!$Y22))</f>
        <v>1</v>
      </c>
      <c r="N9" s="1088">
        <f>IF('Mkt Pen Veh-Mi'!N9=0,1,1/((1-Fuel2ShrbyTech!N10)/'Inputs 7&amp;8 SU'!$N22+Fuel2ShrbyTech!N10/'Inputs 7&amp;8 SU'!$T22))</f>
        <v>5.9278738513698928</v>
      </c>
      <c r="O9" s="1085">
        <f>IF('Mkt Pen Veh-Mi'!O9=0,1,1/((1-Fuel2ShrbyTech!O10)/'Inputs 7&amp;8 SU'!$O22+Fuel2ShrbyTech!O10/'Inputs 7&amp;8 SU'!$U22))</f>
        <v>1</v>
      </c>
      <c r="P9" s="1085">
        <f>IF('Mkt Pen Veh-Mi'!P9=0,1,1/((1-Fuel2ShrbyTech!P10)/'Inputs 7&amp;8 SU'!$P22+Fuel2ShrbyTech!P10/'Inputs 7&amp;8 SU'!$V22))</f>
        <v>1</v>
      </c>
      <c r="Q9" s="1085">
        <f>IF('Mkt Pen Veh-Mi'!Q9=0,1,1/((1-Fuel2ShrbyTech!Q10)/'Inputs 7&amp;8 SU'!$Q22+Fuel2ShrbyTech!Q10/'Inputs 7&amp;8 SU'!$W22))</f>
        <v>1</v>
      </c>
      <c r="R9" s="1085">
        <f>IF('Mkt Pen Veh-Mi'!R9=0,1,1/((1-Fuel2ShrbyTech!R10)/'Inputs 7&amp;8 SU'!$R22+Fuel2ShrbyTech!R10/'Inputs 7&amp;8 SU'!$X22))</f>
        <v>1</v>
      </c>
      <c r="S9" s="1087">
        <f>IF('Mkt Pen Veh-Mi'!S9=0,1,1/((1-Fuel2ShrbyTech!S10)/'Inputs 7&amp;8 SU'!$S22+Fuel2ShrbyTech!S10/'Inputs 7&amp;8 SU'!$Y22))</f>
        <v>1</v>
      </c>
      <c r="U9" s="1034">
        <f>A9</f>
        <v>2007</v>
      </c>
      <c r="V9" s="1088">
        <f>IF(B9=1,0,B9)</f>
        <v>5.9278738513698928</v>
      </c>
      <c r="W9" s="1085">
        <f t="shared" ref="W9:AM9" si="12">IF(C9=1,0,C9)</f>
        <v>0</v>
      </c>
      <c r="X9" s="1085">
        <f t="shared" si="12"/>
        <v>0</v>
      </c>
      <c r="Y9" s="1085">
        <f t="shared" si="12"/>
        <v>0</v>
      </c>
      <c r="Z9" s="1085">
        <f t="shared" si="12"/>
        <v>0</v>
      </c>
      <c r="AA9" s="1086">
        <f t="shared" si="12"/>
        <v>0</v>
      </c>
      <c r="AB9" s="1088">
        <f t="shared" si="12"/>
        <v>5.9278738513698928</v>
      </c>
      <c r="AC9" s="1085">
        <f t="shared" si="12"/>
        <v>0</v>
      </c>
      <c r="AD9" s="1085">
        <f t="shared" si="12"/>
        <v>0</v>
      </c>
      <c r="AE9" s="1085">
        <f t="shared" si="12"/>
        <v>0</v>
      </c>
      <c r="AF9" s="1085">
        <f t="shared" si="12"/>
        <v>0</v>
      </c>
      <c r="AG9" s="1086">
        <f t="shared" si="12"/>
        <v>0</v>
      </c>
      <c r="AH9" s="1088">
        <f t="shared" si="12"/>
        <v>5.9278738513698928</v>
      </c>
      <c r="AI9" s="1085">
        <f t="shared" si="12"/>
        <v>0</v>
      </c>
      <c r="AJ9" s="1085">
        <f t="shared" si="12"/>
        <v>0</v>
      </c>
      <c r="AK9" s="1085">
        <f t="shared" si="12"/>
        <v>0</v>
      </c>
      <c r="AL9" s="1085">
        <f t="shared" si="12"/>
        <v>0</v>
      </c>
      <c r="AM9" s="1087">
        <f t="shared" si="12"/>
        <v>0</v>
      </c>
      <c r="AN9" s="1019">
        <v>2007</v>
      </c>
      <c r="AO9" s="1165">
        <f t="array" ref="AO9">1/SUMPRODUCT(IFERROR(1/V9:AA9,0),'Mkt Pen Veh-Mi'!B9:G9)</f>
        <v>5.9278738513698928</v>
      </c>
      <c r="AP9" s="1166">
        <f t="array" ref="AP9">1/SUMPRODUCT(IFERROR(1/AB9:AG9,0),'Mkt Pen Veh-Mi'!H9:M9)</f>
        <v>5.9278738513698928</v>
      </c>
      <c r="AQ9" s="1170">
        <f t="array" ref="AQ9">1/SUMPRODUCT(IFERROR(1/AH9:AM9,0),'Mkt Pen Veh-Mi'!N9:S9)</f>
        <v>5.9278738513698928</v>
      </c>
      <c r="AR9" s="1163">
        <v>2007</v>
      </c>
      <c r="AS9" s="1165">
        <f>AO9/V9</f>
        <v>1</v>
      </c>
      <c r="AT9" s="1166">
        <f>AP9/AB9</f>
        <v>1</v>
      </c>
      <c r="AU9" s="1166">
        <f>AQ9/AH9</f>
        <v>1</v>
      </c>
      <c r="AV9" s="1170">
        <v>1</v>
      </c>
    </row>
    <row r="10" spans="1:48" s="1019" customFormat="1" ht="15" x14ac:dyDescent="0.25">
      <c r="A10" s="1034">
        <v>2008</v>
      </c>
      <c r="B10" s="1088">
        <f>IF('Mkt Pen Veh-Mi'!B10=0,1,1/((1-Fuel2ShrbyTech!B11)/'Inputs 7&amp;8 Sleep'!$N23+Fuel2ShrbyTech!B11/'Inputs 7&amp;8 Sleep'!$T23))</f>
        <v>5.9278738513698928</v>
      </c>
      <c r="C10" s="1089">
        <f>IF('Mkt Pen Veh-Mi'!C10=0,1,1/((1-Fuel2ShrbyTech!C11)/'Inputs 7&amp;8 Sleep'!$O23+Fuel2ShrbyTech!C11/'Inputs 7&amp;8 Sleep'!$U23))</f>
        <v>1</v>
      </c>
      <c r="D10" s="1089">
        <f>IF('Mkt Pen Veh-Mi'!D10=0,1,1/((1-Fuel2ShrbyTech!D11)/'Inputs 7&amp;8 Sleep'!$P23+Fuel2ShrbyTech!D11/'Inputs 7&amp;8 Sleep'!$V23))</f>
        <v>1</v>
      </c>
      <c r="E10" s="1089">
        <f>IF('Mkt Pen Veh-Mi'!E10=0,1,1/((1-Fuel2ShrbyTech!E11)/'Inputs 7&amp;8 Sleep'!$Q23+Fuel2ShrbyTech!E11/'Inputs 7&amp;8 Sleep'!$W23))</f>
        <v>1</v>
      </c>
      <c r="F10" s="1089">
        <f>IF('Mkt Pen Veh-Mi'!F10=0,1,1/((1-Fuel2ShrbyTech!F11)/'Inputs 7&amp;8 Sleep'!$R23+Fuel2ShrbyTech!F11/'Inputs 7&amp;8 Sleep'!$X23))</f>
        <v>1</v>
      </c>
      <c r="G10" s="1090">
        <f>IF('Mkt Pen Veh-Mi'!G10=0,1,1/((1-Fuel2ShrbyTech!G11)/'Inputs 7&amp;8 Sleep'!$S23+Fuel2ShrbyTech!G11/'Inputs 7&amp;8 Sleep'!$Y23))</f>
        <v>1</v>
      </c>
      <c r="H10" s="1088">
        <f>IF('Mkt Pen Veh-Mi'!H10=0,1,1/((1-Fuel2ShrbyTech!H11)/'Inputs 7&amp;8 Day'!$N23+Fuel2ShrbyTech!H11/'Inputs 7&amp;8 Day'!$T23))</f>
        <v>5.9278738513698928</v>
      </c>
      <c r="I10" s="1089">
        <f>IF('Mkt Pen Veh-Mi'!I10=0,1,1/((1-Fuel2ShrbyTech!I11)/'Inputs 7&amp;8 Day'!$O23+Fuel2ShrbyTech!I11/'Inputs 7&amp;8 Day'!$U23))</f>
        <v>1</v>
      </c>
      <c r="J10" s="1089">
        <f>IF('Mkt Pen Veh-Mi'!J10=0,1,1/((1-Fuel2ShrbyTech!J11)/'Inputs 7&amp;8 Day'!$P23+Fuel2ShrbyTech!J11/'Inputs 7&amp;8 Day'!$V23))</f>
        <v>1</v>
      </c>
      <c r="K10" s="1089">
        <f>IF('Mkt Pen Veh-Mi'!K10=0,1,1/((1-Fuel2ShrbyTech!K11)/'Inputs 7&amp;8 Day'!$Q23+Fuel2ShrbyTech!K11/'Inputs 7&amp;8 Day'!$W23))</f>
        <v>1</v>
      </c>
      <c r="L10" s="1089">
        <f>IF('Mkt Pen Veh-Mi'!L10=0,1,1/((1-Fuel2ShrbyTech!L11)/'Inputs 7&amp;8 Day'!$R23+Fuel2ShrbyTech!L11/'Inputs 7&amp;8 Day'!$X23))</f>
        <v>1</v>
      </c>
      <c r="M10" s="1090">
        <f>IF('Mkt Pen Veh-Mi'!M10=0,1,1/((1-Fuel2ShrbyTech!M11)/'Inputs 7&amp;8 Day'!$S23+Fuel2ShrbyTech!M11/'Inputs 7&amp;8 Day'!$Y23))</f>
        <v>1</v>
      </c>
      <c r="N10" s="1088">
        <f>IF('Mkt Pen Veh-Mi'!N10=0,1,1/((1-Fuel2ShrbyTech!N11)/'Inputs 7&amp;8 SU'!$N23+Fuel2ShrbyTech!N11/'Inputs 7&amp;8 SU'!$T23))</f>
        <v>5.9278738513698928</v>
      </c>
      <c r="O10" s="1089">
        <f>IF('Mkt Pen Veh-Mi'!O10=0,1,1/((1-Fuel2ShrbyTech!O11)/'Inputs 7&amp;8 SU'!$O23+Fuel2ShrbyTech!O11/'Inputs 7&amp;8 SU'!$U23))</f>
        <v>1</v>
      </c>
      <c r="P10" s="1089">
        <f>IF('Mkt Pen Veh-Mi'!P10=0,1,1/((1-Fuel2ShrbyTech!P11)/'Inputs 7&amp;8 SU'!$P23+Fuel2ShrbyTech!P11/'Inputs 7&amp;8 SU'!$V23))</f>
        <v>1</v>
      </c>
      <c r="Q10" s="1089">
        <f>IF('Mkt Pen Veh-Mi'!Q10=0,1,1/((1-Fuel2ShrbyTech!Q11)/'Inputs 7&amp;8 SU'!$Q23+Fuel2ShrbyTech!Q11/'Inputs 7&amp;8 SU'!$W23))</f>
        <v>1</v>
      </c>
      <c r="R10" s="1089">
        <f>IF('Mkt Pen Veh-Mi'!R10=0,1,1/((1-Fuel2ShrbyTech!R11)/'Inputs 7&amp;8 SU'!$R23+Fuel2ShrbyTech!R11/'Inputs 7&amp;8 SU'!$X23))</f>
        <v>1</v>
      </c>
      <c r="S10" s="1090">
        <f>IF('Mkt Pen Veh-Mi'!S10=0,1,1/((1-Fuel2ShrbyTech!S11)/'Inputs 7&amp;8 SU'!$S23+Fuel2ShrbyTech!S11/'Inputs 7&amp;8 SU'!$Y23))</f>
        <v>1</v>
      </c>
      <c r="U10" s="1034">
        <f t="shared" ref="U10:U52" si="13">A10</f>
        <v>2008</v>
      </c>
      <c r="V10" s="1088">
        <f t="shared" ref="V10:V52" si="14">IF(B10=1,0,B10)</f>
        <v>5.9278738513698928</v>
      </c>
      <c r="W10" s="1089">
        <f t="shared" ref="W10:W52" si="15">IF(C10=1,0,C10)</f>
        <v>0</v>
      </c>
      <c r="X10" s="1089">
        <f t="shared" ref="X10:X52" si="16">IF(D10=1,0,D10)</f>
        <v>0</v>
      </c>
      <c r="Y10" s="1089">
        <f t="shared" ref="Y10:Y52" si="17">IF(E10=1,0,E10)</f>
        <v>0</v>
      </c>
      <c r="Z10" s="1089">
        <f t="shared" ref="Z10:Z52" si="18">IF(F10=1,0,F10)</f>
        <v>0</v>
      </c>
      <c r="AA10" s="1090">
        <f t="shared" ref="AA10:AA52" si="19">IF(G10=1,0,G10)</f>
        <v>0</v>
      </c>
      <c r="AB10" s="1088">
        <f t="shared" ref="AB10:AB52" si="20">IF(H10=1,0,H10)</f>
        <v>5.9278738513698928</v>
      </c>
      <c r="AC10" s="1089">
        <f t="shared" ref="AC10:AC52" si="21">IF(I10=1,0,I10)</f>
        <v>0</v>
      </c>
      <c r="AD10" s="1089">
        <f t="shared" ref="AD10:AD52" si="22">IF(J10=1,0,J10)</f>
        <v>0</v>
      </c>
      <c r="AE10" s="1089">
        <f t="shared" ref="AE10:AE52" si="23">IF(K10=1,0,K10)</f>
        <v>0</v>
      </c>
      <c r="AF10" s="1089">
        <f t="shared" ref="AF10:AF52" si="24">IF(L10=1,0,L10)</f>
        <v>0</v>
      </c>
      <c r="AG10" s="1090">
        <f t="shared" ref="AG10:AG52" si="25">IF(M10=1,0,M10)</f>
        <v>0</v>
      </c>
      <c r="AH10" s="1088">
        <f t="shared" ref="AH10:AH52" si="26">IF(N10=1,0,N10)</f>
        <v>5.9278738513698928</v>
      </c>
      <c r="AI10" s="1089">
        <f t="shared" ref="AI10:AI52" si="27">IF(O10=1,0,O10)</f>
        <v>0</v>
      </c>
      <c r="AJ10" s="1089">
        <f t="shared" ref="AJ10:AJ52" si="28">IF(P10=1,0,P10)</f>
        <v>0</v>
      </c>
      <c r="AK10" s="1089">
        <f t="shared" ref="AK10:AK52" si="29">IF(Q10=1,0,Q10)</f>
        <v>0</v>
      </c>
      <c r="AL10" s="1089">
        <f t="shared" ref="AL10:AL52" si="30">IF(R10=1,0,R10)</f>
        <v>0</v>
      </c>
      <c r="AM10" s="1090">
        <f t="shared" ref="AM10:AM52" si="31">IF(S10=1,0,S10)</f>
        <v>0</v>
      </c>
      <c r="AN10" s="1019">
        <v>2008</v>
      </c>
      <c r="AO10" s="1165">
        <f t="array" ref="AO10">1/SUMPRODUCT(IFERROR(1/V10:AA10,0),'Mkt Pen Veh-Mi'!B10:G10)</f>
        <v>5.9278738513698928</v>
      </c>
      <c r="AP10" s="1166">
        <f t="array" ref="AP10">1/SUMPRODUCT(IFERROR(1/AB10:AG10,0),'Mkt Pen Veh-Mi'!H10:M10)</f>
        <v>5.9278738513698928</v>
      </c>
      <c r="AQ10" s="1170">
        <f t="array" ref="AQ10">1/SUMPRODUCT(IFERROR(1/AH10:AM10,0),'Mkt Pen Veh-Mi'!N10:S10)</f>
        <v>5.9278738513698928</v>
      </c>
      <c r="AR10" s="1163">
        <v>2008</v>
      </c>
      <c r="AS10" s="1165">
        <f t="shared" ref="AS10:AS52" si="32">AO10/V10</f>
        <v>1</v>
      </c>
      <c r="AT10" s="1166">
        <f t="shared" ref="AT10:AT52" si="33">AP10/AB10</f>
        <v>1</v>
      </c>
      <c r="AU10" s="1166">
        <f t="shared" ref="AU10:AU52" si="34">AQ10/AH10</f>
        <v>1</v>
      </c>
      <c r="AV10" s="1170">
        <v>1</v>
      </c>
    </row>
    <row r="11" spans="1:48" s="1019" customFormat="1" ht="15" x14ac:dyDescent="0.25">
      <c r="A11" s="1034">
        <v>2009</v>
      </c>
      <c r="B11" s="1088">
        <f>IF('Mkt Pen Veh-Mi'!B11=0,1,1/((1-Fuel2ShrbyTech!B12)/'Inputs 7&amp;8 Sleep'!$N24+Fuel2ShrbyTech!B12/'Inputs 7&amp;8 Sleep'!$T24))</f>
        <v>5.9278738513698928</v>
      </c>
      <c r="C11" s="1089">
        <f>IF('Mkt Pen Veh-Mi'!C11=0,1,1/((1-Fuel2ShrbyTech!C12)/'Inputs 7&amp;8 Sleep'!$O24+Fuel2ShrbyTech!C12/'Inputs 7&amp;8 Sleep'!$U24))</f>
        <v>1</v>
      </c>
      <c r="D11" s="1089">
        <f>IF('Mkt Pen Veh-Mi'!D11=0,1,1/((1-Fuel2ShrbyTech!D12)/'Inputs 7&amp;8 Sleep'!$P24+Fuel2ShrbyTech!D12/'Inputs 7&amp;8 Sleep'!$V24))</f>
        <v>1</v>
      </c>
      <c r="E11" s="1089">
        <f>IF('Mkt Pen Veh-Mi'!E11=0,1,1/((1-Fuel2ShrbyTech!E12)/'Inputs 7&amp;8 Sleep'!$Q24+Fuel2ShrbyTech!E12/'Inputs 7&amp;8 Sleep'!$W24))</f>
        <v>1</v>
      </c>
      <c r="F11" s="1089">
        <f>IF('Mkt Pen Veh-Mi'!F11=0,1,1/((1-Fuel2ShrbyTech!F12)/'Inputs 7&amp;8 Sleep'!$R24+Fuel2ShrbyTech!F12/'Inputs 7&amp;8 Sleep'!$X24))</f>
        <v>1</v>
      </c>
      <c r="G11" s="1090">
        <f>IF('Mkt Pen Veh-Mi'!G11=0,1,1/((1-Fuel2ShrbyTech!G12)/'Inputs 7&amp;8 Sleep'!$S24+Fuel2ShrbyTech!G12/'Inputs 7&amp;8 Sleep'!$Y24))</f>
        <v>1</v>
      </c>
      <c r="H11" s="1088">
        <f>IF('Mkt Pen Veh-Mi'!H11=0,1,1/((1-Fuel2ShrbyTech!H12)/'Inputs 7&amp;8 Day'!$N24+Fuel2ShrbyTech!H12/'Inputs 7&amp;8 Day'!$T24))</f>
        <v>5.9278738513698928</v>
      </c>
      <c r="I11" s="1089">
        <f>IF('Mkt Pen Veh-Mi'!I11=0,1,1/((1-Fuel2ShrbyTech!I12)/'Inputs 7&amp;8 Day'!$O24+Fuel2ShrbyTech!I12/'Inputs 7&amp;8 Day'!$U24))</f>
        <v>1</v>
      </c>
      <c r="J11" s="1089">
        <f>IF('Mkt Pen Veh-Mi'!J11=0,1,1/((1-Fuel2ShrbyTech!J12)/'Inputs 7&amp;8 Day'!$P24+Fuel2ShrbyTech!J12/'Inputs 7&amp;8 Day'!$V24))</f>
        <v>1</v>
      </c>
      <c r="K11" s="1089">
        <f>IF('Mkt Pen Veh-Mi'!K11=0,1,1/((1-Fuel2ShrbyTech!K12)/'Inputs 7&amp;8 Day'!$Q24+Fuel2ShrbyTech!K12/'Inputs 7&amp;8 Day'!$W24))</f>
        <v>1</v>
      </c>
      <c r="L11" s="1089">
        <f>IF('Mkt Pen Veh-Mi'!L11=0,1,1/((1-Fuel2ShrbyTech!L12)/'Inputs 7&amp;8 Day'!$R24+Fuel2ShrbyTech!L12/'Inputs 7&amp;8 Day'!$X24))</f>
        <v>1</v>
      </c>
      <c r="M11" s="1090">
        <f>IF('Mkt Pen Veh-Mi'!M11=0,1,1/((1-Fuel2ShrbyTech!M12)/'Inputs 7&amp;8 Day'!$S24+Fuel2ShrbyTech!M12/'Inputs 7&amp;8 Day'!$Y24))</f>
        <v>1</v>
      </c>
      <c r="N11" s="1088">
        <f>IF('Mkt Pen Veh-Mi'!N11=0,1,1/((1-Fuel2ShrbyTech!N12)/'Inputs 7&amp;8 SU'!$N24+Fuel2ShrbyTech!N12/'Inputs 7&amp;8 SU'!$T24))</f>
        <v>5.9278738513698928</v>
      </c>
      <c r="O11" s="1089">
        <f>IF('Mkt Pen Veh-Mi'!O11=0,1,1/((1-Fuel2ShrbyTech!O12)/'Inputs 7&amp;8 SU'!$O24+Fuel2ShrbyTech!O12/'Inputs 7&amp;8 SU'!$U24))</f>
        <v>1</v>
      </c>
      <c r="P11" s="1089">
        <f>IF('Mkt Pen Veh-Mi'!P11=0,1,1/((1-Fuel2ShrbyTech!P12)/'Inputs 7&amp;8 SU'!$P24+Fuel2ShrbyTech!P12/'Inputs 7&amp;8 SU'!$V24))</f>
        <v>1</v>
      </c>
      <c r="Q11" s="1089">
        <f>IF('Mkt Pen Veh-Mi'!Q11=0,1,1/((1-Fuel2ShrbyTech!Q12)/'Inputs 7&amp;8 SU'!$Q24+Fuel2ShrbyTech!Q12/'Inputs 7&amp;8 SU'!$W24))</f>
        <v>1</v>
      </c>
      <c r="R11" s="1089">
        <f>IF('Mkt Pen Veh-Mi'!R11=0,1,1/((1-Fuel2ShrbyTech!R12)/'Inputs 7&amp;8 SU'!$R24+Fuel2ShrbyTech!R12/'Inputs 7&amp;8 SU'!$X24))</f>
        <v>1</v>
      </c>
      <c r="S11" s="1090">
        <f>IF('Mkt Pen Veh-Mi'!S11=0,1,1/((1-Fuel2ShrbyTech!S12)/'Inputs 7&amp;8 SU'!$S24+Fuel2ShrbyTech!S12/'Inputs 7&amp;8 SU'!$Y24))</f>
        <v>1</v>
      </c>
      <c r="U11" s="1034">
        <f t="shared" si="13"/>
        <v>2009</v>
      </c>
      <c r="V11" s="1088">
        <f t="shared" si="14"/>
        <v>5.9278738513698928</v>
      </c>
      <c r="W11" s="1089">
        <f t="shared" si="15"/>
        <v>0</v>
      </c>
      <c r="X11" s="1089">
        <f t="shared" si="16"/>
        <v>0</v>
      </c>
      <c r="Y11" s="1089">
        <f t="shared" si="17"/>
        <v>0</v>
      </c>
      <c r="Z11" s="1089">
        <f t="shared" si="18"/>
        <v>0</v>
      </c>
      <c r="AA11" s="1090">
        <f t="shared" si="19"/>
        <v>0</v>
      </c>
      <c r="AB11" s="1088">
        <f t="shared" si="20"/>
        <v>5.9278738513698928</v>
      </c>
      <c r="AC11" s="1089">
        <f t="shared" si="21"/>
        <v>0</v>
      </c>
      <c r="AD11" s="1089">
        <f t="shared" si="22"/>
        <v>0</v>
      </c>
      <c r="AE11" s="1089">
        <f t="shared" si="23"/>
        <v>0</v>
      </c>
      <c r="AF11" s="1089">
        <f t="shared" si="24"/>
        <v>0</v>
      </c>
      <c r="AG11" s="1090">
        <f t="shared" si="25"/>
        <v>0</v>
      </c>
      <c r="AH11" s="1088">
        <f t="shared" si="26"/>
        <v>5.9278738513698928</v>
      </c>
      <c r="AI11" s="1089">
        <f t="shared" si="27"/>
        <v>0</v>
      </c>
      <c r="AJ11" s="1089">
        <f t="shared" si="28"/>
        <v>0</v>
      </c>
      <c r="AK11" s="1089">
        <f t="shared" si="29"/>
        <v>0</v>
      </c>
      <c r="AL11" s="1089">
        <f t="shared" si="30"/>
        <v>0</v>
      </c>
      <c r="AM11" s="1090">
        <f t="shared" si="31"/>
        <v>0</v>
      </c>
      <c r="AN11" s="1019">
        <v>2009</v>
      </c>
      <c r="AO11" s="1165">
        <f t="array" ref="AO11">1/SUMPRODUCT(IFERROR(1/V11:AA11,0),'Mkt Pen Veh-Mi'!B11:G11)</f>
        <v>5.9278738513698928</v>
      </c>
      <c r="AP11" s="1166">
        <f t="array" ref="AP11">1/SUMPRODUCT(IFERROR(1/AB11:AG11,0),'Mkt Pen Veh-Mi'!H11:M11)</f>
        <v>5.9278738513698928</v>
      </c>
      <c r="AQ11" s="1170">
        <f t="array" ref="AQ11">1/SUMPRODUCT(IFERROR(1/AH11:AM11,0),'Mkt Pen Veh-Mi'!N11:S11)</f>
        <v>5.9278738513698928</v>
      </c>
      <c r="AR11" s="1163">
        <v>2009</v>
      </c>
      <c r="AS11" s="1165">
        <f t="shared" si="32"/>
        <v>1</v>
      </c>
      <c r="AT11" s="1166">
        <f t="shared" si="33"/>
        <v>1</v>
      </c>
      <c r="AU11" s="1166">
        <f t="shared" si="34"/>
        <v>1</v>
      </c>
      <c r="AV11" s="1170">
        <v>1</v>
      </c>
    </row>
    <row r="12" spans="1:48" s="1019" customFormat="1" ht="15" x14ac:dyDescent="0.25">
      <c r="A12" s="1040">
        <v>2010</v>
      </c>
      <c r="B12" s="1091">
        <f>IF('Mkt Pen Veh-Mi'!B12=0,1,1/((1-Fuel2ShrbyTech!B13)/'Inputs 7&amp;8 Sleep'!$N25+Fuel2ShrbyTech!B13/'Inputs 7&amp;8 Sleep'!$T25))</f>
        <v>5.6529804659012148</v>
      </c>
      <c r="C12" s="1092">
        <f>IF('Mkt Pen Veh-Mi'!C12=0,1,1/((1-Fuel2ShrbyTech!C13)/'Inputs 7&amp;8 Sleep'!$O25+Fuel2ShrbyTech!C13/'Inputs 7&amp;8 Sleep'!$U25))</f>
        <v>1</v>
      </c>
      <c r="D12" s="1092">
        <f>IF('Mkt Pen Veh-Mi'!D12=0,1,1/((1-Fuel2ShrbyTech!D13)/'Inputs 7&amp;8 Sleep'!$P25+Fuel2ShrbyTech!D13/'Inputs 7&amp;8 Sleep'!$V25))</f>
        <v>1</v>
      </c>
      <c r="E12" s="1092">
        <f>IF('Mkt Pen Veh-Mi'!E12=0,1,1/((1-Fuel2ShrbyTech!E13)/'Inputs 7&amp;8 Sleep'!$Q25+Fuel2ShrbyTech!E13/'Inputs 7&amp;8 Sleep'!$W25))</f>
        <v>1</v>
      </c>
      <c r="F12" s="1092">
        <f>IF('Mkt Pen Veh-Mi'!F12=0,1,1/((1-Fuel2ShrbyTech!F13)/'Inputs 7&amp;8 Sleep'!$R25+Fuel2ShrbyTech!F13/'Inputs 7&amp;8 Sleep'!$X25))</f>
        <v>1</v>
      </c>
      <c r="G12" s="1093">
        <f>IF('Mkt Pen Veh-Mi'!G12=0,1,1/((1-Fuel2ShrbyTech!G13)/'Inputs 7&amp;8 Sleep'!$S25+Fuel2ShrbyTech!G13/'Inputs 7&amp;8 Sleep'!$Y25))</f>
        <v>1</v>
      </c>
      <c r="H12" s="1091">
        <f>IF('Mkt Pen Veh-Mi'!H12=0,1,1/((1-Fuel2ShrbyTech!H13)/'Inputs 7&amp;8 Day'!$N25+Fuel2ShrbyTech!H13/'Inputs 7&amp;8 Day'!$T25))</f>
        <v>5.3626379919559177</v>
      </c>
      <c r="I12" s="1092">
        <f>IF('Mkt Pen Veh-Mi'!I12=0,1,1/((1-Fuel2ShrbyTech!I13)/'Inputs 7&amp;8 Day'!$O25+Fuel2ShrbyTech!I13/'Inputs 7&amp;8 Day'!$U25))</f>
        <v>1</v>
      </c>
      <c r="J12" s="1092">
        <f>IF('Mkt Pen Veh-Mi'!J12=0,1,1/((1-Fuel2ShrbyTech!J13)/'Inputs 7&amp;8 Day'!$P25+Fuel2ShrbyTech!J13/'Inputs 7&amp;8 Day'!$V25))</f>
        <v>1</v>
      </c>
      <c r="K12" s="1092">
        <f>IF('Mkt Pen Veh-Mi'!K12=0,1,1/((1-Fuel2ShrbyTech!K13)/'Inputs 7&amp;8 Day'!$Q25+Fuel2ShrbyTech!K13/'Inputs 7&amp;8 Day'!$W25))</f>
        <v>1</v>
      </c>
      <c r="L12" s="1092">
        <f>IF('Mkt Pen Veh-Mi'!L12=0,1,1/((1-Fuel2ShrbyTech!L13)/'Inputs 7&amp;8 Day'!$R25+Fuel2ShrbyTech!L13/'Inputs 7&amp;8 Day'!$X25))</f>
        <v>1</v>
      </c>
      <c r="M12" s="1093">
        <f>IF('Mkt Pen Veh-Mi'!M12=0,1,1/((1-Fuel2ShrbyTech!M13)/'Inputs 7&amp;8 Day'!$S25+Fuel2ShrbyTech!M13/'Inputs 7&amp;8 Day'!$Y25))</f>
        <v>1</v>
      </c>
      <c r="N12" s="1091">
        <f>IF('Mkt Pen Veh-Mi'!N12=0,1,1/((1-Fuel2ShrbyTech!N13)/'Inputs 7&amp;8 SU'!$N25+Fuel2ShrbyTech!N13/'Inputs 7&amp;8 SU'!$T25))</f>
        <v>5.2655413578482051</v>
      </c>
      <c r="O12" s="1092">
        <f>IF('Mkt Pen Veh-Mi'!O12=0,1,1/((1-Fuel2ShrbyTech!O13)/'Inputs 7&amp;8 SU'!$O25+Fuel2ShrbyTech!O13/'Inputs 7&amp;8 SU'!$U25))</f>
        <v>1</v>
      </c>
      <c r="P12" s="1092">
        <f>IF('Mkt Pen Veh-Mi'!P12=0,1,1/((1-Fuel2ShrbyTech!P13)/'Inputs 7&amp;8 SU'!$P25+Fuel2ShrbyTech!P13/'Inputs 7&amp;8 SU'!$V25))</f>
        <v>1</v>
      </c>
      <c r="Q12" s="1092">
        <f>IF('Mkt Pen Veh-Mi'!Q12=0,1,1/((1-Fuel2ShrbyTech!Q13)/'Inputs 7&amp;8 SU'!$Q25+Fuel2ShrbyTech!Q13/'Inputs 7&amp;8 SU'!$W25))</f>
        <v>1</v>
      </c>
      <c r="R12" s="1092">
        <f>IF('Mkt Pen Veh-Mi'!R12=0,1,1/((1-Fuel2ShrbyTech!R13)/'Inputs 7&amp;8 SU'!$R25+Fuel2ShrbyTech!R13/'Inputs 7&amp;8 SU'!$X25))</f>
        <v>1</v>
      </c>
      <c r="S12" s="1093">
        <f>IF('Mkt Pen Veh-Mi'!S12=0,1,1/((1-Fuel2ShrbyTech!S13)/'Inputs 7&amp;8 SU'!$S25+Fuel2ShrbyTech!S13/'Inputs 7&amp;8 SU'!$Y25))</f>
        <v>1</v>
      </c>
      <c r="U12" s="1040">
        <f t="shared" si="13"/>
        <v>2010</v>
      </c>
      <c r="V12" s="1091">
        <f t="shared" si="14"/>
        <v>5.6529804659012148</v>
      </c>
      <c r="W12" s="1092">
        <f t="shared" si="15"/>
        <v>0</v>
      </c>
      <c r="X12" s="1092">
        <f t="shared" si="16"/>
        <v>0</v>
      </c>
      <c r="Y12" s="1092">
        <f t="shared" si="17"/>
        <v>0</v>
      </c>
      <c r="Z12" s="1092">
        <f t="shared" si="18"/>
        <v>0</v>
      </c>
      <c r="AA12" s="1093">
        <f t="shared" si="19"/>
        <v>0</v>
      </c>
      <c r="AB12" s="1091">
        <f t="shared" si="20"/>
        <v>5.3626379919559177</v>
      </c>
      <c r="AC12" s="1092">
        <f t="shared" si="21"/>
        <v>0</v>
      </c>
      <c r="AD12" s="1092">
        <f t="shared" si="22"/>
        <v>0</v>
      </c>
      <c r="AE12" s="1092">
        <f t="shared" si="23"/>
        <v>0</v>
      </c>
      <c r="AF12" s="1092">
        <f t="shared" si="24"/>
        <v>0</v>
      </c>
      <c r="AG12" s="1093">
        <f t="shared" si="25"/>
        <v>0</v>
      </c>
      <c r="AH12" s="1091">
        <f t="shared" si="26"/>
        <v>5.2655413578482051</v>
      </c>
      <c r="AI12" s="1092">
        <f t="shared" si="27"/>
        <v>0</v>
      </c>
      <c r="AJ12" s="1092">
        <f t="shared" si="28"/>
        <v>0</v>
      </c>
      <c r="AK12" s="1092">
        <f t="shared" si="29"/>
        <v>0</v>
      </c>
      <c r="AL12" s="1092">
        <f t="shared" si="30"/>
        <v>0</v>
      </c>
      <c r="AM12" s="1093">
        <f t="shared" si="31"/>
        <v>0</v>
      </c>
      <c r="AN12" s="1019">
        <v>2010</v>
      </c>
      <c r="AO12" s="1165">
        <f t="array" ref="AO12">1/SUMPRODUCT(IFERROR(1/V12:AA12,0),'Mkt Pen Veh-Mi'!B12:G12)</f>
        <v>5.6529804659012148</v>
      </c>
      <c r="AP12" s="1166">
        <f t="array" ref="AP12">1/SUMPRODUCT(IFERROR(1/AB12:AG12,0),'Mkt Pen Veh-Mi'!H12:M12)</f>
        <v>5.3626379919559177</v>
      </c>
      <c r="AQ12" s="1170">
        <f t="array" ref="AQ12">1/SUMPRODUCT(IFERROR(1/AH12:AM12,0),'Mkt Pen Veh-Mi'!N12:S12)</f>
        <v>5.2655413578482051</v>
      </c>
      <c r="AR12" s="1163">
        <v>2010</v>
      </c>
      <c r="AS12" s="1165">
        <f t="shared" si="32"/>
        <v>1</v>
      </c>
      <c r="AT12" s="1166">
        <f t="shared" si="33"/>
        <v>1</v>
      </c>
      <c r="AU12" s="1166">
        <f t="shared" si="34"/>
        <v>1</v>
      </c>
      <c r="AV12" s="1170">
        <v>1</v>
      </c>
    </row>
    <row r="13" spans="1:48" s="1019" customFormat="1" ht="15" x14ac:dyDescent="0.25">
      <c r="A13" s="1034">
        <v>2011</v>
      </c>
      <c r="B13" s="1094">
        <f>IF('Mkt Pen Veh-Mi'!B13=0,1,1/((1-Fuel2ShrbyTech!B14)/'Inputs 7&amp;8 Sleep'!$N26+Fuel2ShrbyTech!B14/'Inputs 7&amp;8 Sleep'!$T26))</f>
        <v>5.7697883792198921</v>
      </c>
      <c r="C13" s="1095">
        <f>IF('Mkt Pen Veh-Mi'!C13=0,1,1/((1-Fuel2ShrbyTech!C14)/'Inputs 7&amp;8 Sleep'!$O26+Fuel2ShrbyTech!C14/'Inputs 7&amp;8 Sleep'!$U26))</f>
        <v>1</v>
      </c>
      <c r="D13" s="1095">
        <f>IF('Mkt Pen Veh-Mi'!D13=0,1,1/((1-Fuel2ShrbyTech!D14)/'Inputs 7&amp;8 Sleep'!$P26+Fuel2ShrbyTech!D14/'Inputs 7&amp;8 Sleep'!$V26))</f>
        <v>1</v>
      </c>
      <c r="E13" s="1095">
        <f>IF('Mkt Pen Veh-Mi'!E13=0,1,1/((1-Fuel2ShrbyTech!E14)/'Inputs 7&amp;8 Sleep'!$Q26+Fuel2ShrbyTech!E14/'Inputs 7&amp;8 Sleep'!$W26))</f>
        <v>1</v>
      </c>
      <c r="F13" s="1095">
        <f>IF('Mkt Pen Veh-Mi'!F13=0,1,1/((1-Fuel2ShrbyTech!F14)/'Inputs 7&amp;8 Sleep'!$R26+Fuel2ShrbyTech!F14/'Inputs 7&amp;8 Sleep'!$X26))</f>
        <v>1</v>
      </c>
      <c r="G13" s="1096">
        <f>IF('Mkt Pen Veh-Mi'!G13=0,1,1/((1-Fuel2ShrbyTech!G14)/'Inputs 7&amp;8 Sleep'!$S26+Fuel2ShrbyTech!G14/'Inputs 7&amp;8 Sleep'!$Y26))</f>
        <v>1</v>
      </c>
      <c r="H13" s="1094">
        <f>IF('Mkt Pen Veh-Mi'!H13=0,1,1/((1-Fuel2ShrbyTech!H14)/'Inputs 7&amp;8 Day'!$N26+Fuel2ShrbyTech!H14/'Inputs 7&amp;8 Day'!$T26))</f>
        <v>5.4796640059835191</v>
      </c>
      <c r="I13" s="1095">
        <f>IF('Mkt Pen Veh-Mi'!I13=0,1,1/((1-Fuel2ShrbyTech!I14)/'Inputs 7&amp;8 Day'!$O26+Fuel2ShrbyTech!I14/'Inputs 7&amp;8 Day'!$U26))</f>
        <v>1</v>
      </c>
      <c r="J13" s="1095">
        <f>IF('Mkt Pen Veh-Mi'!J13=0,1,1/((1-Fuel2ShrbyTech!J14)/'Inputs 7&amp;8 Day'!$P26+Fuel2ShrbyTech!J14/'Inputs 7&amp;8 Day'!$V26))</f>
        <v>1</v>
      </c>
      <c r="K13" s="1095">
        <f>IF('Mkt Pen Veh-Mi'!K13=0,1,1/((1-Fuel2ShrbyTech!K14)/'Inputs 7&amp;8 Day'!$Q26+Fuel2ShrbyTech!K14/'Inputs 7&amp;8 Day'!$W26))</f>
        <v>1</v>
      </c>
      <c r="L13" s="1095">
        <f>IF('Mkt Pen Veh-Mi'!L13=0,1,1/((1-Fuel2ShrbyTech!L14)/'Inputs 7&amp;8 Day'!$R26+Fuel2ShrbyTech!L14/'Inputs 7&amp;8 Day'!$X26))</f>
        <v>1</v>
      </c>
      <c r="M13" s="1096">
        <f>IF('Mkt Pen Veh-Mi'!M13=0,1,1/((1-Fuel2ShrbyTech!M14)/'Inputs 7&amp;8 Day'!$S26+Fuel2ShrbyTech!M14/'Inputs 7&amp;8 Day'!$Y26))</f>
        <v>1</v>
      </c>
      <c r="N13" s="1094">
        <f>IF('Mkt Pen Veh-Mi'!N13=0,1,1/((1-Fuel2ShrbyTech!N14)/'Inputs 7&amp;8 SU'!$N26+Fuel2ShrbyTech!N14/'Inputs 7&amp;8 SU'!$T26))</f>
        <v>5.3415539478743668</v>
      </c>
      <c r="O13" s="1095">
        <f>IF('Mkt Pen Veh-Mi'!O13=0,1,1/((1-Fuel2ShrbyTech!O14)/'Inputs 7&amp;8 SU'!$O26+Fuel2ShrbyTech!O14/'Inputs 7&amp;8 SU'!$U26))</f>
        <v>1</v>
      </c>
      <c r="P13" s="1095">
        <f>IF('Mkt Pen Veh-Mi'!P13=0,1,1/((1-Fuel2ShrbyTech!P14)/'Inputs 7&amp;8 SU'!$P26+Fuel2ShrbyTech!P14/'Inputs 7&amp;8 SU'!$V26))</f>
        <v>1</v>
      </c>
      <c r="Q13" s="1095">
        <f>IF('Mkt Pen Veh-Mi'!Q13=0,1,1/((1-Fuel2ShrbyTech!Q14)/'Inputs 7&amp;8 SU'!$Q26+Fuel2ShrbyTech!Q14/'Inputs 7&amp;8 SU'!$W26))</f>
        <v>1</v>
      </c>
      <c r="R13" s="1095">
        <f>IF('Mkt Pen Veh-Mi'!R13=0,1,1/((1-Fuel2ShrbyTech!R14)/'Inputs 7&amp;8 SU'!$R26+Fuel2ShrbyTech!R14/'Inputs 7&amp;8 SU'!$X26))</f>
        <v>1</v>
      </c>
      <c r="S13" s="1096">
        <f>IF('Mkt Pen Veh-Mi'!S13=0,1,1/((1-Fuel2ShrbyTech!S14)/'Inputs 7&amp;8 SU'!$S26+Fuel2ShrbyTech!S14/'Inputs 7&amp;8 SU'!$Y26))</f>
        <v>1</v>
      </c>
      <c r="U13" s="1034">
        <f t="shared" si="13"/>
        <v>2011</v>
      </c>
      <c r="V13" s="1094">
        <f t="shared" si="14"/>
        <v>5.7697883792198921</v>
      </c>
      <c r="W13" s="1095">
        <f t="shared" si="15"/>
        <v>0</v>
      </c>
      <c r="X13" s="1095">
        <f t="shared" si="16"/>
        <v>0</v>
      </c>
      <c r="Y13" s="1095">
        <f t="shared" si="17"/>
        <v>0</v>
      </c>
      <c r="Z13" s="1095">
        <f t="shared" si="18"/>
        <v>0</v>
      </c>
      <c r="AA13" s="1096">
        <f t="shared" si="19"/>
        <v>0</v>
      </c>
      <c r="AB13" s="1094">
        <f t="shared" si="20"/>
        <v>5.4796640059835191</v>
      </c>
      <c r="AC13" s="1095">
        <f t="shared" si="21"/>
        <v>0</v>
      </c>
      <c r="AD13" s="1095">
        <f t="shared" si="22"/>
        <v>0</v>
      </c>
      <c r="AE13" s="1095">
        <f t="shared" si="23"/>
        <v>0</v>
      </c>
      <c r="AF13" s="1095">
        <f t="shared" si="24"/>
        <v>0</v>
      </c>
      <c r="AG13" s="1096">
        <f t="shared" si="25"/>
        <v>0</v>
      </c>
      <c r="AH13" s="1094">
        <f t="shared" si="26"/>
        <v>5.3415539478743668</v>
      </c>
      <c r="AI13" s="1095">
        <f t="shared" si="27"/>
        <v>0</v>
      </c>
      <c r="AJ13" s="1095">
        <f t="shared" si="28"/>
        <v>0</v>
      </c>
      <c r="AK13" s="1095">
        <f t="shared" si="29"/>
        <v>0</v>
      </c>
      <c r="AL13" s="1095">
        <f t="shared" si="30"/>
        <v>0</v>
      </c>
      <c r="AM13" s="1096">
        <f t="shared" si="31"/>
        <v>0</v>
      </c>
      <c r="AN13" s="1019">
        <v>2011</v>
      </c>
      <c r="AO13" s="1165">
        <f t="array" ref="AO13">1/SUMPRODUCT(IFERROR(1/V13:AA13,0),'Mkt Pen Veh-Mi'!B13:G13)</f>
        <v>5.7697883792198921</v>
      </c>
      <c r="AP13" s="1166">
        <f t="array" ref="AP13">1/SUMPRODUCT(IFERROR(1/AB13:AG13,0),'Mkt Pen Veh-Mi'!H13:M13)</f>
        <v>5.4796640059835191</v>
      </c>
      <c r="AQ13" s="1170">
        <f t="array" ref="AQ13">1/SUMPRODUCT(IFERROR(1/AH13:AM13,0),'Mkt Pen Veh-Mi'!N13:S13)</f>
        <v>5.3415539478743668</v>
      </c>
      <c r="AR13" s="1163">
        <v>2011</v>
      </c>
      <c r="AS13" s="1165">
        <f t="shared" si="32"/>
        <v>1</v>
      </c>
      <c r="AT13" s="1166">
        <f t="shared" si="33"/>
        <v>1</v>
      </c>
      <c r="AU13" s="1166">
        <f t="shared" si="34"/>
        <v>1</v>
      </c>
      <c r="AV13" s="1170">
        <v>1</v>
      </c>
    </row>
    <row r="14" spans="1:48" s="1019" customFormat="1" ht="15" x14ac:dyDescent="0.25">
      <c r="A14" s="1034">
        <v>2012</v>
      </c>
      <c r="B14" s="1088">
        <f>IF('Mkt Pen Veh-Mi'!B14=0,1,1/((1-Fuel2ShrbyTech!B15)/'Inputs 7&amp;8 Sleep'!$N27+Fuel2ShrbyTech!B15/'Inputs 7&amp;8 Sleep'!$T27))</f>
        <v>5.8156338758937807</v>
      </c>
      <c r="C14" s="1089">
        <f>IF('Mkt Pen Veh-Mi'!C14=0,1,1/((1-Fuel2ShrbyTech!C15)/'Inputs 7&amp;8 Sleep'!$O27+Fuel2ShrbyTech!C15/'Inputs 7&amp;8 Sleep'!$U27))</f>
        <v>1</v>
      </c>
      <c r="D14" s="1089">
        <f>IF('Mkt Pen Veh-Mi'!D14=0,1,1/((1-Fuel2ShrbyTech!D15)/'Inputs 7&amp;8 Sleep'!$P27+Fuel2ShrbyTech!D15/'Inputs 7&amp;8 Sleep'!$V27))</f>
        <v>1</v>
      </c>
      <c r="E14" s="1089">
        <f>IF('Mkt Pen Veh-Mi'!E14=0,1,1/((1-Fuel2ShrbyTech!E15)/'Inputs 7&amp;8 Sleep'!$Q27+Fuel2ShrbyTech!E15/'Inputs 7&amp;8 Sleep'!$W27))</f>
        <v>1</v>
      </c>
      <c r="F14" s="1089">
        <f>IF('Mkt Pen Veh-Mi'!F14=0,1,1/((1-Fuel2ShrbyTech!F15)/'Inputs 7&amp;8 Sleep'!$R27+Fuel2ShrbyTech!F15/'Inputs 7&amp;8 Sleep'!$X27))</f>
        <v>1</v>
      </c>
      <c r="G14" s="1090">
        <f>IF('Mkt Pen Veh-Mi'!G14=0,1,1/((1-Fuel2ShrbyTech!G15)/'Inputs 7&amp;8 Sleep'!$S27+Fuel2ShrbyTech!G15/'Inputs 7&amp;8 Sleep'!$Y27))</f>
        <v>1</v>
      </c>
      <c r="H14" s="1088">
        <f>IF('Mkt Pen Veh-Mi'!H14=0,1,1/((1-Fuel2ShrbyTech!H15)/'Inputs 7&amp;8 Day'!$N27+Fuel2ShrbyTech!H15/'Inputs 7&amp;8 Day'!$T27))</f>
        <v>5.5253664614026778</v>
      </c>
      <c r="I14" s="1089">
        <f>IF('Mkt Pen Veh-Mi'!I14=0,1,1/((1-Fuel2ShrbyTech!I15)/'Inputs 7&amp;8 Day'!$O27+Fuel2ShrbyTech!I15/'Inputs 7&amp;8 Day'!$U27))</f>
        <v>1</v>
      </c>
      <c r="J14" s="1089">
        <f>IF('Mkt Pen Veh-Mi'!J14=0,1,1/((1-Fuel2ShrbyTech!J15)/'Inputs 7&amp;8 Day'!$P27+Fuel2ShrbyTech!J15/'Inputs 7&amp;8 Day'!$V27))</f>
        <v>1</v>
      </c>
      <c r="K14" s="1089">
        <f>IF('Mkt Pen Veh-Mi'!K14=0,1,1/((1-Fuel2ShrbyTech!K15)/'Inputs 7&amp;8 Day'!$Q27+Fuel2ShrbyTech!K15/'Inputs 7&amp;8 Day'!$W27))</f>
        <v>1</v>
      </c>
      <c r="L14" s="1089">
        <f>IF('Mkt Pen Veh-Mi'!L14=0,1,1/((1-Fuel2ShrbyTech!L15)/'Inputs 7&amp;8 Day'!$R27+Fuel2ShrbyTech!L15/'Inputs 7&amp;8 Day'!$X27))</f>
        <v>1</v>
      </c>
      <c r="M14" s="1090">
        <f>IF('Mkt Pen Veh-Mi'!M14=0,1,1/((1-Fuel2ShrbyTech!M15)/'Inputs 7&amp;8 Day'!$S27+Fuel2ShrbyTech!M15/'Inputs 7&amp;8 Day'!$Y27))</f>
        <v>1</v>
      </c>
      <c r="N14" s="1088">
        <f>IF('Mkt Pen Veh-Mi'!N14=0,1,1/((1-Fuel2ShrbyTech!N15)/'Inputs 7&amp;8 SU'!$N27+Fuel2ShrbyTech!N15/'Inputs 7&amp;8 SU'!$T27))</f>
        <v>5.3663261607096828</v>
      </c>
      <c r="O14" s="1089">
        <f>IF('Mkt Pen Veh-Mi'!O14=0,1,1/((1-Fuel2ShrbyTech!O15)/'Inputs 7&amp;8 SU'!$O27+Fuel2ShrbyTech!O15/'Inputs 7&amp;8 SU'!$U27))</f>
        <v>1</v>
      </c>
      <c r="P14" s="1089">
        <f>IF('Mkt Pen Veh-Mi'!P14=0,1,1/((1-Fuel2ShrbyTech!P15)/'Inputs 7&amp;8 SU'!$P27+Fuel2ShrbyTech!P15/'Inputs 7&amp;8 SU'!$V27))</f>
        <v>1</v>
      </c>
      <c r="Q14" s="1089">
        <f>IF('Mkt Pen Veh-Mi'!Q14=0,1,1/((1-Fuel2ShrbyTech!Q15)/'Inputs 7&amp;8 SU'!$Q27+Fuel2ShrbyTech!Q15/'Inputs 7&amp;8 SU'!$W27))</f>
        <v>1</v>
      </c>
      <c r="R14" s="1089">
        <f>IF('Mkt Pen Veh-Mi'!R14=0,1,1/((1-Fuel2ShrbyTech!R15)/'Inputs 7&amp;8 SU'!$R27+Fuel2ShrbyTech!R15/'Inputs 7&amp;8 SU'!$X27))</f>
        <v>1</v>
      </c>
      <c r="S14" s="1090">
        <f>IF('Mkt Pen Veh-Mi'!S14=0,1,1/((1-Fuel2ShrbyTech!S15)/'Inputs 7&amp;8 SU'!$S27+Fuel2ShrbyTech!S15/'Inputs 7&amp;8 SU'!$Y27))</f>
        <v>1</v>
      </c>
      <c r="U14" s="1034">
        <f t="shared" si="13"/>
        <v>2012</v>
      </c>
      <c r="V14" s="1088">
        <f t="shared" si="14"/>
        <v>5.8156338758937807</v>
      </c>
      <c r="W14" s="1089">
        <f t="shared" si="15"/>
        <v>0</v>
      </c>
      <c r="X14" s="1089">
        <f t="shared" si="16"/>
        <v>0</v>
      </c>
      <c r="Y14" s="1089">
        <f t="shared" si="17"/>
        <v>0</v>
      </c>
      <c r="Z14" s="1089">
        <f t="shared" si="18"/>
        <v>0</v>
      </c>
      <c r="AA14" s="1090">
        <f t="shared" si="19"/>
        <v>0</v>
      </c>
      <c r="AB14" s="1088">
        <f t="shared" si="20"/>
        <v>5.5253664614026778</v>
      </c>
      <c r="AC14" s="1089">
        <f t="shared" si="21"/>
        <v>0</v>
      </c>
      <c r="AD14" s="1089">
        <f t="shared" si="22"/>
        <v>0</v>
      </c>
      <c r="AE14" s="1089">
        <f t="shared" si="23"/>
        <v>0</v>
      </c>
      <c r="AF14" s="1089">
        <f t="shared" si="24"/>
        <v>0</v>
      </c>
      <c r="AG14" s="1090">
        <f t="shared" si="25"/>
        <v>0</v>
      </c>
      <c r="AH14" s="1088">
        <f t="shared" si="26"/>
        <v>5.3663261607096828</v>
      </c>
      <c r="AI14" s="1089">
        <f t="shared" si="27"/>
        <v>0</v>
      </c>
      <c r="AJ14" s="1089">
        <f t="shared" si="28"/>
        <v>0</v>
      </c>
      <c r="AK14" s="1089">
        <f t="shared" si="29"/>
        <v>0</v>
      </c>
      <c r="AL14" s="1089">
        <f t="shared" si="30"/>
        <v>0</v>
      </c>
      <c r="AM14" s="1090">
        <f t="shared" si="31"/>
        <v>0</v>
      </c>
      <c r="AN14" s="1019">
        <v>2012</v>
      </c>
      <c r="AO14" s="1165">
        <f t="array" ref="AO14">1/SUMPRODUCT(IFERROR(1/V14:AA14,0),'Mkt Pen Veh-Mi'!B14:G14)</f>
        <v>5.8156338758937807</v>
      </c>
      <c r="AP14" s="1166">
        <f t="array" ref="AP14">1/SUMPRODUCT(IFERROR(1/AB14:AG14,0),'Mkt Pen Veh-Mi'!H14:M14)</f>
        <v>5.5253664614026778</v>
      </c>
      <c r="AQ14" s="1170">
        <f t="array" ref="AQ14">1/SUMPRODUCT(IFERROR(1/AH14:AM14,0),'Mkt Pen Veh-Mi'!N14:S14)</f>
        <v>5.3663261607096828</v>
      </c>
      <c r="AR14" s="1163">
        <v>2012</v>
      </c>
      <c r="AS14" s="1165">
        <f t="shared" si="32"/>
        <v>1</v>
      </c>
      <c r="AT14" s="1166">
        <f t="shared" si="33"/>
        <v>1</v>
      </c>
      <c r="AU14" s="1166">
        <f t="shared" si="34"/>
        <v>1</v>
      </c>
      <c r="AV14" s="1170">
        <v>1</v>
      </c>
    </row>
    <row r="15" spans="1:48" s="1019" customFormat="1" ht="15" x14ac:dyDescent="0.25">
      <c r="A15" s="1034">
        <v>2013</v>
      </c>
      <c r="B15" s="1088">
        <f>IF('Mkt Pen Veh-Mi'!B15=0,1,1/((1-Fuel2ShrbyTech!B16)/'Inputs 7&amp;8 Sleep'!$N28+Fuel2ShrbyTech!B16/'Inputs 7&amp;8 Sleep'!$T28))</f>
        <v>5.9244625288706905</v>
      </c>
      <c r="C15" s="1089">
        <f>IF('Mkt Pen Veh-Mi'!C15=0,1,1/((1-Fuel2ShrbyTech!C16)/'Inputs 7&amp;8 Sleep'!$O28+Fuel2ShrbyTech!C16/'Inputs 7&amp;8 Sleep'!$U28))</f>
        <v>1</v>
      </c>
      <c r="D15" s="1089">
        <f>IF('Mkt Pen Veh-Mi'!D15=0,1,1/((1-Fuel2ShrbyTech!D16)/'Inputs 7&amp;8 Sleep'!$P28+Fuel2ShrbyTech!D16/'Inputs 7&amp;8 Sleep'!$V28))</f>
        <v>1</v>
      </c>
      <c r="E15" s="1089">
        <f>IF('Mkt Pen Veh-Mi'!E15=0,1,1/((1-Fuel2ShrbyTech!E16)/'Inputs 7&amp;8 Sleep'!$Q28+Fuel2ShrbyTech!E16/'Inputs 7&amp;8 Sleep'!$W28))</f>
        <v>1</v>
      </c>
      <c r="F15" s="1089">
        <f>IF('Mkt Pen Veh-Mi'!F15=0,1,1/((1-Fuel2ShrbyTech!F16)/'Inputs 7&amp;8 Sleep'!$R28+Fuel2ShrbyTech!F16/'Inputs 7&amp;8 Sleep'!$X28))</f>
        <v>1</v>
      </c>
      <c r="G15" s="1090">
        <f>IF('Mkt Pen Veh-Mi'!G15=0,1,1/((1-Fuel2ShrbyTech!G16)/'Inputs 7&amp;8 Sleep'!$S28+Fuel2ShrbyTech!G16/'Inputs 7&amp;8 Sleep'!$Y28))</f>
        <v>1</v>
      </c>
      <c r="H15" s="1088">
        <f>IF('Mkt Pen Veh-Mi'!H15=0,1,1/((1-Fuel2ShrbyTech!H16)/'Inputs 7&amp;8 Day'!$N28+Fuel2ShrbyTech!H16/'Inputs 7&amp;8 Day'!$T28))</f>
        <v>5.6111818233785948</v>
      </c>
      <c r="I15" s="1089">
        <f>IF('Mkt Pen Veh-Mi'!I15=0,1,1/((1-Fuel2ShrbyTech!I16)/'Inputs 7&amp;8 Day'!$O28+Fuel2ShrbyTech!I16/'Inputs 7&amp;8 Day'!$U28))</f>
        <v>1</v>
      </c>
      <c r="J15" s="1089">
        <f>IF('Mkt Pen Veh-Mi'!J15=0,1,1/((1-Fuel2ShrbyTech!J16)/'Inputs 7&amp;8 Day'!$P28+Fuel2ShrbyTech!J16/'Inputs 7&amp;8 Day'!$V28))</f>
        <v>1</v>
      </c>
      <c r="K15" s="1089">
        <f>IF('Mkt Pen Veh-Mi'!K15=0,1,1/((1-Fuel2ShrbyTech!K16)/'Inputs 7&amp;8 Day'!$Q28+Fuel2ShrbyTech!K16/'Inputs 7&amp;8 Day'!$W28))</f>
        <v>1</v>
      </c>
      <c r="L15" s="1089">
        <f>IF('Mkt Pen Veh-Mi'!L15=0,1,1/((1-Fuel2ShrbyTech!L16)/'Inputs 7&amp;8 Day'!$R28+Fuel2ShrbyTech!L16/'Inputs 7&amp;8 Day'!$X28))</f>
        <v>1</v>
      </c>
      <c r="M15" s="1090">
        <f>IF('Mkt Pen Veh-Mi'!M15=0,1,1/((1-Fuel2ShrbyTech!M16)/'Inputs 7&amp;8 Day'!$S28+Fuel2ShrbyTech!M16/'Inputs 7&amp;8 Day'!$Y28))</f>
        <v>1</v>
      </c>
      <c r="N15" s="1088">
        <f>IF('Mkt Pen Veh-Mi'!N15=0,1,1/((1-Fuel2ShrbyTech!N16)/'Inputs 7&amp;8 SU'!$N28+Fuel2ShrbyTech!N16/'Inputs 7&amp;8 SU'!$T28))</f>
        <v>5.4191824611432953</v>
      </c>
      <c r="O15" s="1089">
        <f>IF('Mkt Pen Veh-Mi'!O15=0,1,1/((1-Fuel2ShrbyTech!O16)/'Inputs 7&amp;8 SU'!$O28+Fuel2ShrbyTech!O16/'Inputs 7&amp;8 SU'!$U28))</f>
        <v>1</v>
      </c>
      <c r="P15" s="1089">
        <f>IF('Mkt Pen Veh-Mi'!P15=0,1,1/((1-Fuel2ShrbyTech!P16)/'Inputs 7&amp;8 SU'!$P28+Fuel2ShrbyTech!P16/'Inputs 7&amp;8 SU'!$V28))</f>
        <v>1</v>
      </c>
      <c r="Q15" s="1089">
        <f>IF('Mkt Pen Veh-Mi'!Q15=0,1,1/((1-Fuel2ShrbyTech!Q16)/'Inputs 7&amp;8 SU'!$Q28+Fuel2ShrbyTech!Q16/'Inputs 7&amp;8 SU'!$W28))</f>
        <v>1</v>
      </c>
      <c r="R15" s="1089">
        <f>IF('Mkt Pen Veh-Mi'!R15=0,1,1/((1-Fuel2ShrbyTech!R16)/'Inputs 7&amp;8 SU'!$R28+Fuel2ShrbyTech!R16/'Inputs 7&amp;8 SU'!$X28))</f>
        <v>1</v>
      </c>
      <c r="S15" s="1090">
        <f>IF('Mkt Pen Veh-Mi'!S15=0,1,1/((1-Fuel2ShrbyTech!S16)/'Inputs 7&amp;8 SU'!$S28+Fuel2ShrbyTech!S16/'Inputs 7&amp;8 SU'!$Y28))</f>
        <v>1</v>
      </c>
      <c r="U15" s="1034">
        <f t="shared" si="13"/>
        <v>2013</v>
      </c>
      <c r="V15" s="1088">
        <f t="shared" si="14"/>
        <v>5.9244625288706905</v>
      </c>
      <c r="W15" s="1089">
        <f t="shared" si="15"/>
        <v>0</v>
      </c>
      <c r="X15" s="1089">
        <f t="shared" si="16"/>
        <v>0</v>
      </c>
      <c r="Y15" s="1089">
        <f t="shared" si="17"/>
        <v>0</v>
      </c>
      <c r="Z15" s="1089">
        <f t="shared" si="18"/>
        <v>0</v>
      </c>
      <c r="AA15" s="1090">
        <f t="shared" si="19"/>
        <v>0</v>
      </c>
      <c r="AB15" s="1088">
        <f t="shared" si="20"/>
        <v>5.6111818233785948</v>
      </c>
      <c r="AC15" s="1089">
        <f t="shared" si="21"/>
        <v>0</v>
      </c>
      <c r="AD15" s="1089">
        <f t="shared" si="22"/>
        <v>0</v>
      </c>
      <c r="AE15" s="1089">
        <f t="shared" si="23"/>
        <v>0</v>
      </c>
      <c r="AF15" s="1089">
        <f t="shared" si="24"/>
        <v>0</v>
      </c>
      <c r="AG15" s="1090">
        <f t="shared" si="25"/>
        <v>0</v>
      </c>
      <c r="AH15" s="1088">
        <f t="shared" si="26"/>
        <v>5.4191824611432953</v>
      </c>
      <c r="AI15" s="1089">
        <f t="shared" si="27"/>
        <v>0</v>
      </c>
      <c r="AJ15" s="1089">
        <f t="shared" si="28"/>
        <v>0</v>
      </c>
      <c r="AK15" s="1089">
        <f t="shared" si="29"/>
        <v>0</v>
      </c>
      <c r="AL15" s="1089">
        <f t="shared" si="30"/>
        <v>0</v>
      </c>
      <c r="AM15" s="1090">
        <f t="shared" si="31"/>
        <v>0</v>
      </c>
      <c r="AN15" s="1019">
        <v>2013</v>
      </c>
      <c r="AO15" s="1165">
        <f t="array" ref="AO15">1/SUMPRODUCT(IFERROR(1/V15:AA15,0),'Mkt Pen Veh-Mi'!B15:G15)</f>
        <v>5.9244625288706905</v>
      </c>
      <c r="AP15" s="1166">
        <f t="array" ref="AP15">1/SUMPRODUCT(IFERROR(1/AB15:AG15,0),'Mkt Pen Veh-Mi'!H15:M15)</f>
        <v>5.6111818233785948</v>
      </c>
      <c r="AQ15" s="1170">
        <f t="array" ref="AQ15">1/SUMPRODUCT(IFERROR(1/AH15:AM15,0),'Mkt Pen Veh-Mi'!N15:S15)</f>
        <v>5.4191824611432953</v>
      </c>
      <c r="AR15" s="1163">
        <v>2013</v>
      </c>
      <c r="AS15" s="1165">
        <f t="shared" si="32"/>
        <v>1</v>
      </c>
      <c r="AT15" s="1166">
        <f t="shared" si="33"/>
        <v>1</v>
      </c>
      <c r="AU15" s="1166">
        <f t="shared" si="34"/>
        <v>1</v>
      </c>
      <c r="AV15" s="1170">
        <v>1</v>
      </c>
    </row>
    <row r="16" spans="1:48" s="1019" customFormat="1" ht="15" x14ac:dyDescent="0.25">
      <c r="A16" s="1034">
        <v>2014</v>
      </c>
      <c r="B16" s="1088">
        <f>IF('Mkt Pen Veh-Mi'!B16=0,1,1/((1-Fuel2ShrbyTech!B17)/'Inputs 7&amp;8 Sleep'!$N29+Fuel2ShrbyTech!B17/'Inputs 7&amp;8 Sleep'!$T29))</f>
        <v>6.0583595281689906</v>
      </c>
      <c r="C16" s="1089">
        <f>IF('Mkt Pen Veh-Mi'!C16=0,1,1/((1-Fuel2ShrbyTech!C17)/'Inputs 7&amp;8 Sleep'!$O29+Fuel2ShrbyTech!C17/'Inputs 7&amp;8 Sleep'!$U29))</f>
        <v>1</v>
      </c>
      <c r="D16" s="1089">
        <f>IF('Mkt Pen Veh-Mi'!D16=0,1,1/((1-Fuel2ShrbyTech!D17)/'Inputs 7&amp;8 Sleep'!$P29+Fuel2ShrbyTech!D17/'Inputs 7&amp;8 Sleep'!$V29))</f>
        <v>1</v>
      </c>
      <c r="E16" s="1089">
        <f>IF('Mkt Pen Veh-Mi'!E16=0,1,1/((1-Fuel2ShrbyTech!E17)/'Inputs 7&amp;8 Sleep'!$Q29+Fuel2ShrbyTech!E17/'Inputs 7&amp;8 Sleep'!$W29))</f>
        <v>1</v>
      </c>
      <c r="F16" s="1089">
        <f>IF('Mkt Pen Veh-Mi'!F16=0,1,1/((1-Fuel2ShrbyTech!F17)/'Inputs 7&amp;8 Sleep'!$R29+Fuel2ShrbyTech!F17/'Inputs 7&amp;8 Sleep'!$X29))</f>
        <v>1</v>
      </c>
      <c r="G16" s="1090">
        <f>IF('Mkt Pen Veh-Mi'!G16=0,1,1/((1-Fuel2ShrbyTech!G17)/'Inputs 7&amp;8 Sleep'!$S29+Fuel2ShrbyTech!G17/'Inputs 7&amp;8 Sleep'!$Y29))</f>
        <v>1</v>
      </c>
      <c r="H16" s="1088">
        <f>IF('Mkt Pen Veh-Mi'!H16=0,1,1/((1-Fuel2ShrbyTech!H17)/'Inputs 7&amp;8 Day'!$N29+Fuel2ShrbyTech!H17/'Inputs 7&amp;8 Day'!$T29))</f>
        <v>5.6935000306007142</v>
      </c>
      <c r="I16" s="1089">
        <f>IF('Mkt Pen Veh-Mi'!I16=0,1,1/((1-Fuel2ShrbyTech!I17)/'Inputs 7&amp;8 Day'!$O29+Fuel2ShrbyTech!I17/'Inputs 7&amp;8 Day'!$U29))</f>
        <v>1</v>
      </c>
      <c r="J16" s="1089">
        <f>IF('Mkt Pen Veh-Mi'!J16=0,1,1/((1-Fuel2ShrbyTech!J17)/'Inputs 7&amp;8 Day'!$P29+Fuel2ShrbyTech!J17/'Inputs 7&amp;8 Day'!$V29))</f>
        <v>1</v>
      </c>
      <c r="K16" s="1089">
        <f>IF('Mkt Pen Veh-Mi'!K16=0,1,1/((1-Fuel2ShrbyTech!K17)/'Inputs 7&amp;8 Day'!$Q29+Fuel2ShrbyTech!K17/'Inputs 7&amp;8 Day'!$W29))</f>
        <v>1</v>
      </c>
      <c r="L16" s="1089">
        <f>IF('Mkt Pen Veh-Mi'!L16=0,1,1/((1-Fuel2ShrbyTech!L17)/'Inputs 7&amp;8 Day'!$R29+Fuel2ShrbyTech!L17/'Inputs 7&amp;8 Day'!$X29))</f>
        <v>1</v>
      </c>
      <c r="M16" s="1090">
        <f>IF('Mkt Pen Veh-Mi'!M16=0,1,1/((1-Fuel2ShrbyTech!M17)/'Inputs 7&amp;8 Day'!$S29+Fuel2ShrbyTech!M17/'Inputs 7&amp;8 Day'!$Y29))</f>
        <v>1</v>
      </c>
      <c r="N16" s="1088">
        <f>IF('Mkt Pen Veh-Mi'!N16=0,1,1/((1-Fuel2ShrbyTech!N17)/'Inputs 7&amp;8 SU'!$N29+Fuel2ShrbyTech!N17/'Inputs 7&amp;8 SU'!$T29))</f>
        <v>5.4553664294865474</v>
      </c>
      <c r="O16" s="1089">
        <f>IF('Mkt Pen Veh-Mi'!O16=0,1,1/((1-Fuel2ShrbyTech!O17)/'Inputs 7&amp;8 SU'!$O29+Fuel2ShrbyTech!O17/'Inputs 7&amp;8 SU'!$U29))</f>
        <v>1</v>
      </c>
      <c r="P16" s="1089">
        <f>IF('Mkt Pen Veh-Mi'!P16=0,1,1/((1-Fuel2ShrbyTech!P17)/'Inputs 7&amp;8 SU'!$P29+Fuel2ShrbyTech!P17/'Inputs 7&amp;8 SU'!$V29))</f>
        <v>1</v>
      </c>
      <c r="Q16" s="1089">
        <f>IF('Mkt Pen Veh-Mi'!Q16=0,1,1/((1-Fuel2ShrbyTech!Q17)/'Inputs 7&amp;8 SU'!$Q29+Fuel2ShrbyTech!Q17/'Inputs 7&amp;8 SU'!$W29))</f>
        <v>1</v>
      </c>
      <c r="R16" s="1089">
        <f>IF('Mkt Pen Veh-Mi'!R16=0,1,1/((1-Fuel2ShrbyTech!R17)/'Inputs 7&amp;8 SU'!$R29+Fuel2ShrbyTech!R17/'Inputs 7&amp;8 SU'!$X29))</f>
        <v>1</v>
      </c>
      <c r="S16" s="1090">
        <f>IF('Mkt Pen Veh-Mi'!S16=0,1,1/((1-Fuel2ShrbyTech!S17)/'Inputs 7&amp;8 SU'!$S29+Fuel2ShrbyTech!S17/'Inputs 7&amp;8 SU'!$Y29))</f>
        <v>1</v>
      </c>
      <c r="U16" s="1034">
        <f t="shared" si="13"/>
        <v>2014</v>
      </c>
      <c r="V16" s="1088">
        <f t="shared" si="14"/>
        <v>6.0583595281689906</v>
      </c>
      <c r="W16" s="1089">
        <f t="shared" si="15"/>
        <v>0</v>
      </c>
      <c r="X16" s="1089">
        <f t="shared" si="16"/>
        <v>0</v>
      </c>
      <c r="Y16" s="1089">
        <f t="shared" si="17"/>
        <v>0</v>
      </c>
      <c r="Z16" s="1089">
        <f t="shared" si="18"/>
        <v>0</v>
      </c>
      <c r="AA16" s="1090">
        <f t="shared" si="19"/>
        <v>0</v>
      </c>
      <c r="AB16" s="1088">
        <f t="shared" si="20"/>
        <v>5.6935000306007142</v>
      </c>
      <c r="AC16" s="1089">
        <f t="shared" si="21"/>
        <v>0</v>
      </c>
      <c r="AD16" s="1089">
        <f t="shared" si="22"/>
        <v>0</v>
      </c>
      <c r="AE16" s="1089">
        <f t="shared" si="23"/>
        <v>0</v>
      </c>
      <c r="AF16" s="1089">
        <f t="shared" si="24"/>
        <v>0</v>
      </c>
      <c r="AG16" s="1090">
        <f t="shared" si="25"/>
        <v>0</v>
      </c>
      <c r="AH16" s="1088">
        <f t="shared" si="26"/>
        <v>5.4553664294865474</v>
      </c>
      <c r="AI16" s="1089">
        <f t="shared" si="27"/>
        <v>0</v>
      </c>
      <c r="AJ16" s="1089">
        <f t="shared" si="28"/>
        <v>0</v>
      </c>
      <c r="AK16" s="1089">
        <f t="shared" si="29"/>
        <v>0</v>
      </c>
      <c r="AL16" s="1089">
        <f t="shared" si="30"/>
        <v>0</v>
      </c>
      <c r="AM16" s="1090">
        <f t="shared" si="31"/>
        <v>0</v>
      </c>
      <c r="AN16" s="1019">
        <v>2014</v>
      </c>
      <c r="AO16" s="1165">
        <f t="array" ref="AO16">1/SUMPRODUCT(IFERROR(1/V16:AA16,0),'Mkt Pen Veh-Mi'!B16:G16)</f>
        <v>6.0583595281689906</v>
      </c>
      <c r="AP16" s="1166">
        <f t="array" ref="AP16">1/SUMPRODUCT(IFERROR(1/AB16:AG16,0),'Mkt Pen Veh-Mi'!H16:M16)</f>
        <v>5.6935000306007142</v>
      </c>
      <c r="AQ16" s="1170">
        <f t="array" ref="AQ16">1/SUMPRODUCT(IFERROR(1/AH16:AM16,0),'Mkt Pen Veh-Mi'!N16:S16)</f>
        <v>5.4553664294865474</v>
      </c>
      <c r="AR16" s="1163">
        <v>2014</v>
      </c>
      <c r="AS16" s="1165">
        <f t="shared" si="32"/>
        <v>1</v>
      </c>
      <c r="AT16" s="1166">
        <f t="shared" si="33"/>
        <v>1</v>
      </c>
      <c r="AU16" s="1166">
        <f t="shared" si="34"/>
        <v>1</v>
      </c>
      <c r="AV16" s="1170">
        <v>1</v>
      </c>
    </row>
    <row r="17" spans="1:48" s="1019" customFormat="1" ht="15" x14ac:dyDescent="0.25">
      <c r="A17" s="1040">
        <v>2015</v>
      </c>
      <c r="B17" s="1091">
        <f>IF('Mkt Pen Veh-Mi'!B17=0,1,1/((1-Fuel2ShrbyTech!B18)/'Inputs 7&amp;8 Sleep'!$N30+Fuel2ShrbyTech!B18/'Inputs 7&amp;8 Sleep'!$T30))</f>
        <v>6.1703756815216178</v>
      </c>
      <c r="C17" s="1092">
        <f>IF('Mkt Pen Veh-Mi'!C17=0,1,1/((1-Fuel2ShrbyTech!C18)/'Inputs 7&amp;8 Sleep'!$O30+Fuel2ShrbyTech!C18/'Inputs 7&amp;8 Sleep'!$U30))</f>
        <v>1</v>
      </c>
      <c r="D17" s="1092">
        <f>IF('Mkt Pen Veh-Mi'!D17=0,1,1/((1-Fuel2ShrbyTech!D18)/'Inputs 7&amp;8 Sleep'!$P30+Fuel2ShrbyTech!D18/'Inputs 7&amp;8 Sleep'!$V30))</f>
        <v>1</v>
      </c>
      <c r="E17" s="1092">
        <f>IF('Mkt Pen Veh-Mi'!E17=0,1,1/((1-Fuel2ShrbyTech!E18)/'Inputs 7&amp;8 Sleep'!$Q30+Fuel2ShrbyTech!E18/'Inputs 7&amp;8 Sleep'!$W30))</f>
        <v>1</v>
      </c>
      <c r="F17" s="1092">
        <f>IF('Mkt Pen Veh-Mi'!F17=0,1,1/((1-Fuel2ShrbyTech!F18)/'Inputs 7&amp;8 Sleep'!$R30+Fuel2ShrbyTech!F18/'Inputs 7&amp;8 Sleep'!$X30))</f>
        <v>1</v>
      </c>
      <c r="G17" s="1093">
        <f>IF('Mkt Pen Veh-Mi'!G17=0,1,1/((1-Fuel2ShrbyTech!G18)/'Inputs 7&amp;8 Sleep'!$S30+Fuel2ShrbyTech!G18/'Inputs 7&amp;8 Sleep'!$Y30))</f>
        <v>1</v>
      </c>
      <c r="H17" s="1091">
        <f>IF('Mkt Pen Veh-Mi'!H17=0,1,1/((1-Fuel2ShrbyTech!H18)/'Inputs 7&amp;8 Day'!$N30+Fuel2ShrbyTech!H18/'Inputs 7&amp;8 Day'!$T30))</f>
        <v>5.8247460569336464</v>
      </c>
      <c r="I17" s="1092">
        <f>IF('Mkt Pen Veh-Mi'!I17=0,1,1/((1-Fuel2ShrbyTech!I18)/'Inputs 7&amp;8 Day'!$O30+Fuel2ShrbyTech!I18/'Inputs 7&amp;8 Day'!$U30))</f>
        <v>1</v>
      </c>
      <c r="J17" s="1092">
        <f>IF('Mkt Pen Veh-Mi'!J17=0,1,1/((1-Fuel2ShrbyTech!J18)/'Inputs 7&amp;8 Day'!$P30+Fuel2ShrbyTech!J18/'Inputs 7&amp;8 Day'!$V30))</f>
        <v>1</v>
      </c>
      <c r="K17" s="1092">
        <f>IF('Mkt Pen Veh-Mi'!K17=0,1,1/((1-Fuel2ShrbyTech!K18)/'Inputs 7&amp;8 Day'!$Q30+Fuel2ShrbyTech!K18/'Inputs 7&amp;8 Day'!$W30))</f>
        <v>1</v>
      </c>
      <c r="L17" s="1092">
        <f>IF('Mkt Pen Veh-Mi'!L17=0,1,1/((1-Fuel2ShrbyTech!L18)/'Inputs 7&amp;8 Day'!$R30+Fuel2ShrbyTech!L18/'Inputs 7&amp;8 Day'!$X30))</f>
        <v>1</v>
      </c>
      <c r="M17" s="1093">
        <f>IF('Mkt Pen Veh-Mi'!M17=0,1,1/((1-Fuel2ShrbyTech!M18)/'Inputs 7&amp;8 Day'!$S30+Fuel2ShrbyTech!M18/'Inputs 7&amp;8 Day'!$Y30))</f>
        <v>1</v>
      </c>
      <c r="N17" s="1091">
        <f>IF('Mkt Pen Veh-Mi'!N17=0,1,1/((1-Fuel2ShrbyTech!N18)/'Inputs 7&amp;8 SU'!$N30+Fuel2ShrbyTech!N18/'Inputs 7&amp;8 SU'!$T30))</f>
        <v>5.5204345082149757</v>
      </c>
      <c r="O17" s="1092">
        <f>IF('Mkt Pen Veh-Mi'!O17=0,1,1/((1-Fuel2ShrbyTech!O18)/'Inputs 7&amp;8 SU'!$O30+Fuel2ShrbyTech!O18/'Inputs 7&amp;8 SU'!$U30))</f>
        <v>1</v>
      </c>
      <c r="P17" s="1092">
        <f>IF('Mkt Pen Veh-Mi'!P17=0,1,1/((1-Fuel2ShrbyTech!P18)/'Inputs 7&amp;8 SU'!$P30+Fuel2ShrbyTech!P18/'Inputs 7&amp;8 SU'!$V30))</f>
        <v>1</v>
      </c>
      <c r="Q17" s="1092">
        <f>IF('Mkt Pen Veh-Mi'!Q17=0,1,1/((1-Fuel2ShrbyTech!Q18)/'Inputs 7&amp;8 SU'!$Q30+Fuel2ShrbyTech!Q18/'Inputs 7&amp;8 SU'!$W30))</f>
        <v>1</v>
      </c>
      <c r="R17" s="1092">
        <f>IF('Mkt Pen Veh-Mi'!R17=0,1,1/((1-Fuel2ShrbyTech!R18)/'Inputs 7&amp;8 SU'!$R30+Fuel2ShrbyTech!R18/'Inputs 7&amp;8 SU'!$X30))</f>
        <v>1</v>
      </c>
      <c r="S17" s="1093">
        <f>IF('Mkt Pen Veh-Mi'!S17=0,1,1/((1-Fuel2ShrbyTech!S18)/'Inputs 7&amp;8 SU'!$S30+Fuel2ShrbyTech!S18/'Inputs 7&amp;8 SU'!$Y30))</f>
        <v>1</v>
      </c>
      <c r="U17" s="1040">
        <f t="shared" si="13"/>
        <v>2015</v>
      </c>
      <c r="V17" s="1091">
        <f t="shared" si="14"/>
        <v>6.1703756815216178</v>
      </c>
      <c r="W17" s="1092">
        <f t="shared" si="15"/>
        <v>0</v>
      </c>
      <c r="X17" s="1092">
        <f t="shared" si="16"/>
        <v>0</v>
      </c>
      <c r="Y17" s="1092">
        <f t="shared" si="17"/>
        <v>0</v>
      </c>
      <c r="Z17" s="1092">
        <f t="shared" si="18"/>
        <v>0</v>
      </c>
      <c r="AA17" s="1093">
        <f t="shared" si="19"/>
        <v>0</v>
      </c>
      <c r="AB17" s="1091">
        <f t="shared" si="20"/>
        <v>5.8247460569336464</v>
      </c>
      <c r="AC17" s="1092">
        <f t="shared" si="21"/>
        <v>0</v>
      </c>
      <c r="AD17" s="1092">
        <f t="shared" si="22"/>
        <v>0</v>
      </c>
      <c r="AE17" s="1092">
        <f t="shared" si="23"/>
        <v>0</v>
      </c>
      <c r="AF17" s="1092">
        <f t="shared" si="24"/>
        <v>0</v>
      </c>
      <c r="AG17" s="1093">
        <f t="shared" si="25"/>
        <v>0</v>
      </c>
      <c r="AH17" s="1091">
        <f t="shared" si="26"/>
        <v>5.5204345082149757</v>
      </c>
      <c r="AI17" s="1092">
        <f t="shared" si="27"/>
        <v>0</v>
      </c>
      <c r="AJ17" s="1092">
        <f t="shared" si="28"/>
        <v>0</v>
      </c>
      <c r="AK17" s="1092">
        <f t="shared" si="29"/>
        <v>0</v>
      </c>
      <c r="AL17" s="1092">
        <f t="shared" si="30"/>
        <v>0</v>
      </c>
      <c r="AM17" s="1093">
        <f t="shared" si="31"/>
        <v>0</v>
      </c>
      <c r="AN17" s="1019">
        <v>2015</v>
      </c>
      <c r="AO17" s="1165">
        <f t="array" ref="AO17">1/SUMPRODUCT(IFERROR(1/V17:AA17,0),'Mkt Pen Veh-Mi'!B17:G17)</f>
        <v>6.1703756815216178</v>
      </c>
      <c r="AP17" s="1166">
        <f t="array" ref="AP17">1/SUMPRODUCT(IFERROR(1/AB17:AG17,0),'Mkt Pen Veh-Mi'!H17:M17)</f>
        <v>5.8247460569336464</v>
      </c>
      <c r="AQ17" s="1170">
        <f t="array" ref="AQ17">1/SUMPRODUCT(IFERROR(1/AH17:AM17,0),'Mkt Pen Veh-Mi'!N17:S17)</f>
        <v>5.5204345082149757</v>
      </c>
      <c r="AR17" s="1163">
        <v>2015</v>
      </c>
      <c r="AS17" s="1165">
        <f t="shared" si="32"/>
        <v>1</v>
      </c>
      <c r="AT17" s="1166">
        <f t="shared" si="33"/>
        <v>1</v>
      </c>
      <c r="AU17" s="1166">
        <f t="shared" si="34"/>
        <v>1</v>
      </c>
      <c r="AV17" s="1170">
        <v>1</v>
      </c>
    </row>
    <row r="18" spans="1:48" s="1019" customFormat="1" ht="15" x14ac:dyDescent="0.25">
      <c r="A18" s="1034">
        <v>2016</v>
      </c>
      <c r="B18" s="1094">
        <f>IF('Mkt Pen Veh-Mi'!B18=0,1,1/((1-Fuel2ShrbyTech!B19)/'Inputs 7&amp;8 Sleep'!$N31+Fuel2ShrbyTech!B19/'Inputs 7&amp;8 Sleep'!$T31))</f>
        <v>6.2992037959414624</v>
      </c>
      <c r="C18" s="1095">
        <f>IF('Mkt Pen Veh-Mi'!C18=0,1,1/((1-Fuel2ShrbyTech!C19)/'Inputs 7&amp;8 Sleep'!$O31+Fuel2ShrbyTech!C19/'Inputs 7&amp;8 Sleep'!$U31))</f>
        <v>1</v>
      </c>
      <c r="D18" s="1095">
        <f>IF('Mkt Pen Veh-Mi'!D18=0,1,1/((1-Fuel2ShrbyTech!D19)/'Inputs 7&amp;8 Sleep'!$P31+Fuel2ShrbyTech!D19/'Inputs 7&amp;8 Sleep'!$V31))</f>
        <v>1</v>
      </c>
      <c r="E18" s="1095">
        <f>IF('Mkt Pen Veh-Mi'!E18=0,1,1/((1-Fuel2ShrbyTech!E19)/'Inputs 7&amp;8 Sleep'!$Q31+Fuel2ShrbyTech!E19/'Inputs 7&amp;8 Sleep'!$W31))</f>
        <v>1</v>
      </c>
      <c r="F18" s="1095">
        <f>IF('Mkt Pen Veh-Mi'!F18=0,1,1/((1-Fuel2ShrbyTech!F19)/'Inputs 7&amp;8 Sleep'!$R31+Fuel2ShrbyTech!F19/'Inputs 7&amp;8 Sleep'!$X31))</f>
        <v>1</v>
      </c>
      <c r="G18" s="1096">
        <f>IF('Mkt Pen Veh-Mi'!G18=0,1,1/((1-Fuel2ShrbyTech!G19)/'Inputs 7&amp;8 Sleep'!$S31+Fuel2ShrbyTech!G19/'Inputs 7&amp;8 Sleep'!$Y31))</f>
        <v>1</v>
      </c>
      <c r="H18" s="1094">
        <f>IF('Mkt Pen Veh-Mi'!H18=0,1,1/((1-Fuel2ShrbyTech!H19)/'Inputs 7&amp;8 Day'!$N31+Fuel2ShrbyTech!H19/'Inputs 7&amp;8 Day'!$T31))</f>
        <v>5.9417850974152433</v>
      </c>
      <c r="I18" s="1095">
        <f>IF('Mkt Pen Veh-Mi'!I18=0,1,1/((1-Fuel2ShrbyTech!I19)/'Inputs 7&amp;8 Day'!$O31+Fuel2ShrbyTech!I19/'Inputs 7&amp;8 Day'!$U31))</f>
        <v>1</v>
      </c>
      <c r="J18" s="1095">
        <f>IF('Mkt Pen Veh-Mi'!J18=0,1,1/((1-Fuel2ShrbyTech!J19)/'Inputs 7&amp;8 Day'!$P31+Fuel2ShrbyTech!J19/'Inputs 7&amp;8 Day'!$V31))</f>
        <v>1</v>
      </c>
      <c r="K18" s="1095">
        <f>IF('Mkt Pen Veh-Mi'!K18=0,1,1/((1-Fuel2ShrbyTech!K19)/'Inputs 7&amp;8 Day'!$Q31+Fuel2ShrbyTech!K19/'Inputs 7&amp;8 Day'!$W31))</f>
        <v>1</v>
      </c>
      <c r="L18" s="1095">
        <f>IF('Mkt Pen Veh-Mi'!L18=0,1,1/((1-Fuel2ShrbyTech!L19)/'Inputs 7&amp;8 Day'!$R31+Fuel2ShrbyTech!L19/'Inputs 7&amp;8 Day'!$X31))</f>
        <v>1</v>
      </c>
      <c r="M18" s="1096">
        <f>IF('Mkt Pen Veh-Mi'!M18=0,1,1/((1-Fuel2ShrbyTech!M19)/'Inputs 7&amp;8 Day'!$S31+Fuel2ShrbyTech!M19/'Inputs 7&amp;8 Day'!$Y31))</f>
        <v>1</v>
      </c>
      <c r="N18" s="1094">
        <f>IF('Mkt Pen Veh-Mi'!N18=0,1,1/((1-Fuel2ShrbyTech!N19)/'Inputs 7&amp;8 SU'!$N31+Fuel2ShrbyTech!N19/'Inputs 7&amp;8 SU'!$T31))</f>
        <v>5.5660001226091724</v>
      </c>
      <c r="O18" s="1095">
        <f>IF('Mkt Pen Veh-Mi'!O18=0,1,1/((1-Fuel2ShrbyTech!O19)/'Inputs 7&amp;8 SU'!$O31+Fuel2ShrbyTech!O19/'Inputs 7&amp;8 SU'!$U31))</f>
        <v>1</v>
      </c>
      <c r="P18" s="1095">
        <f>IF('Mkt Pen Veh-Mi'!P18=0,1,1/((1-Fuel2ShrbyTech!P19)/'Inputs 7&amp;8 SU'!$P31+Fuel2ShrbyTech!P19/'Inputs 7&amp;8 SU'!$V31))</f>
        <v>1</v>
      </c>
      <c r="Q18" s="1095">
        <f>IF('Mkt Pen Veh-Mi'!Q18=0,1,1/((1-Fuel2ShrbyTech!Q19)/'Inputs 7&amp;8 SU'!$Q31+Fuel2ShrbyTech!Q19/'Inputs 7&amp;8 SU'!$W31))</f>
        <v>1</v>
      </c>
      <c r="R18" s="1095">
        <f>IF('Mkt Pen Veh-Mi'!R18=0,1,1/((1-Fuel2ShrbyTech!R19)/'Inputs 7&amp;8 SU'!$R31+Fuel2ShrbyTech!R19/'Inputs 7&amp;8 SU'!$X31))</f>
        <v>1</v>
      </c>
      <c r="S18" s="1096">
        <f>IF('Mkt Pen Veh-Mi'!S18=0,1,1/((1-Fuel2ShrbyTech!S19)/'Inputs 7&amp;8 SU'!$S31+Fuel2ShrbyTech!S19/'Inputs 7&amp;8 SU'!$Y31))</f>
        <v>1</v>
      </c>
      <c r="U18" s="1034">
        <f t="shared" si="13"/>
        <v>2016</v>
      </c>
      <c r="V18" s="1094">
        <f t="shared" si="14"/>
        <v>6.2992037959414624</v>
      </c>
      <c r="W18" s="1095">
        <f t="shared" si="15"/>
        <v>0</v>
      </c>
      <c r="X18" s="1095">
        <f t="shared" si="16"/>
        <v>0</v>
      </c>
      <c r="Y18" s="1095">
        <f t="shared" si="17"/>
        <v>0</v>
      </c>
      <c r="Z18" s="1095">
        <f t="shared" si="18"/>
        <v>0</v>
      </c>
      <c r="AA18" s="1096">
        <f t="shared" si="19"/>
        <v>0</v>
      </c>
      <c r="AB18" s="1094">
        <f t="shared" si="20"/>
        <v>5.9417850974152433</v>
      </c>
      <c r="AC18" s="1095">
        <f t="shared" si="21"/>
        <v>0</v>
      </c>
      <c r="AD18" s="1095">
        <f t="shared" si="22"/>
        <v>0</v>
      </c>
      <c r="AE18" s="1095">
        <f t="shared" si="23"/>
        <v>0</v>
      </c>
      <c r="AF18" s="1095">
        <f t="shared" si="24"/>
        <v>0</v>
      </c>
      <c r="AG18" s="1096">
        <f t="shared" si="25"/>
        <v>0</v>
      </c>
      <c r="AH18" s="1094">
        <f t="shared" si="26"/>
        <v>5.5660001226091724</v>
      </c>
      <c r="AI18" s="1095">
        <f t="shared" si="27"/>
        <v>0</v>
      </c>
      <c r="AJ18" s="1095">
        <f t="shared" si="28"/>
        <v>0</v>
      </c>
      <c r="AK18" s="1095">
        <f t="shared" si="29"/>
        <v>0</v>
      </c>
      <c r="AL18" s="1095">
        <f t="shared" si="30"/>
        <v>0</v>
      </c>
      <c r="AM18" s="1096">
        <f t="shared" si="31"/>
        <v>0</v>
      </c>
      <c r="AN18" s="1019">
        <v>2016</v>
      </c>
      <c r="AO18" s="1165">
        <f t="array" ref="AO18">1/SUMPRODUCT(IFERROR(1/V18:AA18,0),'Mkt Pen Veh-Mi'!B18:G18)</f>
        <v>6.2992037959414624</v>
      </c>
      <c r="AP18" s="1166">
        <f t="array" ref="AP18">1/SUMPRODUCT(IFERROR(1/AB18:AG18,0),'Mkt Pen Veh-Mi'!H18:M18)</f>
        <v>5.9417850974152433</v>
      </c>
      <c r="AQ18" s="1170">
        <f t="array" ref="AQ18">1/SUMPRODUCT(IFERROR(1/AH18:AM18,0),'Mkt Pen Veh-Mi'!N18:S18)</f>
        <v>5.5660001226091724</v>
      </c>
      <c r="AR18" s="1163">
        <v>2016</v>
      </c>
      <c r="AS18" s="1165">
        <f t="shared" si="32"/>
        <v>1</v>
      </c>
      <c r="AT18" s="1166">
        <f t="shared" si="33"/>
        <v>1</v>
      </c>
      <c r="AU18" s="1166">
        <f t="shared" si="34"/>
        <v>1</v>
      </c>
      <c r="AV18" s="1170">
        <v>1</v>
      </c>
    </row>
    <row r="19" spans="1:48" s="1019" customFormat="1" ht="15" x14ac:dyDescent="0.25">
      <c r="A19" s="1034">
        <v>2017</v>
      </c>
      <c r="B19" s="1088">
        <f>IF('Mkt Pen Veh-Mi'!B19=0,1,1/((1-Fuel2ShrbyTech!B20)/'Inputs 7&amp;8 Sleep'!$N32+Fuel2ShrbyTech!B20/'Inputs 7&amp;8 Sleep'!$T32))</f>
        <v>6.429880170141046</v>
      </c>
      <c r="C19" s="1089">
        <f>IF('Mkt Pen Veh-Mi'!C19=0,1,1/((1-Fuel2ShrbyTech!C20)/'Inputs 7&amp;8 Sleep'!$O32+Fuel2ShrbyTech!C20/'Inputs 7&amp;8 Sleep'!$U32))</f>
        <v>1</v>
      </c>
      <c r="D19" s="1089">
        <f>IF('Mkt Pen Veh-Mi'!D19=0,1,1/((1-Fuel2ShrbyTech!D20)/'Inputs 7&amp;8 Sleep'!$P32+Fuel2ShrbyTech!D20/'Inputs 7&amp;8 Sleep'!$V32))</f>
        <v>1</v>
      </c>
      <c r="E19" s="1089">
        <f>IF('Mkt Pen Veh-Mi'!E19=0,1,1/((1-Fuel2ShrbyTech!E20)/'Inputs 7&amp;8 Sleep'!$Q32+Fuel2ShrbyTech!E20/'Inputs 7&amp;8 Sleep'!$W32))</f>
        <v>1</v>
      </c>
      <c r="F19" s="1089">
        <f>IF('Mkt Pen Veh-Mi'!F19=0,1,1/((1-Fuel2ShrbyTech!F20)/'Inputs 7&amp;8 Sleep'!$R32+Fuel2ShrbyTech!F20/'Inputs 7&amp;8 Sleep'!$X32))</f>
        <v>1</v>
      </c>
      <c r="G19" s="1090">
        <f>IF('Mkt Pen Veh-Mi'!G19=0,1,1/((1-Fuel2ShrbyTech!G20)/'Inputs 7&amp;8 Sleep'!$S32+Fuel2ShrbyTech!G20/'Inputs 7&amp;8 Sleep'!$Y32))</f>
        <v>1</v>
      </c>
      <c r="H19" s="1088">
        <f>IF('Mkt Pen Veh-Mi'!H19=0,1,1/((1-Fuel2ShrbyTech!H20)/'Inputs 7&amp;8 Day'!$N32+Fuel2ShrbyTech!H20/'Inputs 7&amp;8 Day'!$T32))</f>
        <v>6.0812497021833618</v>
      </c>
      <c r="I19" s="1089">
        <f>IF('Mkt Pen Veh-Mi'!I19=0,1,1/((1-Fuel2ShrbyTech!I20)/'Inputs 7&amp;8 Day'!$O32+Fuel2ShrbyTech!I20/'Inputs 7&amp;8 Day'!$U32))</f>
        <v>1</v>
      </c>
      <c r="J19" s="1089">
        <f>IF('Mkt Pen Veh-Mi'!J19=0,1,1/((1-Fuel2ShrbyTech!J20)/'Inputs 7&amp;8 Day'!$P32+Fuel2ShrbyTech!J20/'Inputs 7&amp;8 Day'!$V32))</f>
        <v>1</v>
      </c>
      <c r="K19" s="1089">
        <f>IF('Mkt Pen Veh-Mi'!K19=0,1,1/((1-Fuel2ShrbyTech!K20)/'Inputs 7&amp;8 Day'!$Q32+Fuel2ShrbyTech!K20/'Inputs 7&amp;8 Day'!$W32))</f>
        <v>1</v>
      </c>
      <c r="L19" s="1089">
        <f>IF('Mkt Pen Veh-Mi'!L19=0,1,1/((1-Fuel2ShrbyTech!L20)/'Inputs 7&amp;8 Day'!$R32+Fuel2ShrbyTech!L20/'Inputs 7&amp;8 Day'!$X32))</f>
        <v>1</v>
      </c>
      <c r="M19" s="1090">
        <f>IF('Mkt Pen Veh-Mi'!M19=0,1,1/((1-Fuel2ShrbyTech!M20)/'Inputs 7&amp;8 Day'!$S32+Fuel2ShrbyTech!M20/'Inputs 7&amp;8 Day'!$Y32))</f>
        <v>1</v>
      </c>
      <c r="N19" s="1088">
        <f>IF('Mkt Pen Veh-Mi'!N19=0,1,1/((1-Fuel2ShrbyTech!N20)/'Inputs 7&amp;8 SU'!$N32+Fuel2ShrbyTech!N20/'Inputs 7&amp;8 SU'!$T32))</f>
        <v>5.6494704469932113</v>
      </c>
      <c r="O19" s="1089">
        <f>IF('Mkt Pen Veh-Mi'!O19=0,1,1/((1-Fuel2ShrbyTech!O20)/'Inputs 7&amp;8 SU'!$O32+Fuel2ShrbyTech!O20/'Inputs 7&amp;8 SU'!$U32))</f>
        <v>1</v>
      </c>
      <c r="P19" s="1089">
        <f>IF('Mkt Pen Veh-Mi'!P19=0,1,1/((1-Fuel2ShrbyTech!P20)/'Inputs 7&amp;8 SU'!$P32+Fuel2ShrbyTech!P20/'Inputs 7&amp;8 SU'!$V32))</f>
        <v>1</v>
      </c>
      <c r="Q19" s="1089">
        <f>IF('Mkt Pen Veh-Mi'!Q19=0,1,1/((1-Fuel2ShrbyTech!Q20)/'Inputs 7&amp;8 SU'!$Q32+Fuel2ShrbyTech!Q20/'Inputs 7&amp;8 SU'!$W32))</f>
        <v>1</v>
      </c>
      <c r="R19" s="1089">
        <f>IF('Mkt Pen Veh-Mi'!R19=0,1,1/((1-Fuel2ShrbyTech!R20)/'Inputs 7&amp;8 SU'!$R32+Fuel2ShrbyTech!R20/'Inputs 7&amp;8 SU'!$X32))</f>
        <v>1</v>
      </c>
      <c r="S19" s="1090">
        <f>IF('Mkt Pen Veh-Mi'!S19=0,1,1/((1-Fuel2ShrbyTech!S20)/'Inputs 7&amp;8 SU'!$S32+Fuel2ShrbyTech!S20/'Inputs 7&amp;8 SU'!$Y32))</f>
        <v>1</v>
      </c>
      <c r="U19" s="1034">
        <f t="shared" si="13"/>
        <v>2017</v>
      </c>
      <c r="V19" s="1088">
        <f t="shared" si="14"/>
        <v>6.429880170141046</v>
      </c>
      <c r="W19" s="1089">
        <f t="shared" si="15"/>
        <v>0</v>
      </c>
      <c r="X19" s="1089">
        <f t="shared" si="16"/>
        <v>0</v>
      </c>
      <c r="Y19" s="1089">
        <f t="shared" si="17"/>
        <v>0</v>
      </c>
      <c r="Z19" s="1089">
        <f t="shared" si="18"/>
        <v>0</v>
      </c>
      <c r="AA19" s="1090">
        <f t="shared" si="19"/>
        <v>0</v>
      </c>
      <c r="AB19" s="1088">
        <f t="shared" si="20"/>
        <v>6.0812497021833618</v>
      </c>
      <c r="AC19" s="1089">
        <f t="shared" si="21"/>
        <v>0</v>
      </c>
      <c r="AD19" s="1089">
        <f t="shared" si="22"/>
        <v>0</v>
      </c>
      <c r="AE19" s="1089">
        <f t="shared" si="23"/>
        <v>0</v>
      </c>
      <c r="AF19" s="1089">
        <f t="shared" si="24"/>
        <v>0</v>
      </c>
      <c r="AG19" s="1090">
        <f t="shared" si="25"/>
        <v>0</v>
      </c>
      <c r="AH19" s="1088">
        <f t="shared" si="26"/>
        <v>5.6494704469932113</v>
      </c>
      <c r="AI19" s="1089">
        <f t="shared" si="27"/>
        <v>0</v>
      </c>
      <c r="AJ19" s="1089">
        <f t="shared" si="28"/>
        <v>0</v>
      </c>
      <c r="AK19" s="1089">
        <f t="shared" si="29"/>
        <v>0</v>
      </c>
      <c r="AL19" s="1089">
        <f t="shared" si="30"/>
        <v>0</v>
      </c>
      <c r="AM19" s="1090">
        <f t="shared" si="31"/>
        <v>0</v>
      </c>
      <c r="AN19" s="1019">
        <v>2017</v>
      </c>
      <c r="AO19" s="1165">
        <f t="array" ref="AO19">1/SUMPRODUCT(IFERROR(1/V19:AA19,0),'Mkt Pen Veh-Mi'!B19:G19)</f>
        <v>6.429880170141046</v>
      </c>
      <c r="AP19" s="1166">
        <f t="array" ref="AP19">1/SUMPRODUCT(IFERROR(1/AB19:AG19,0),'Mkt Pen Veh-Mi'!H19:M19)</f>
        <v>6.0812497021833618</v>
      </c>
      <c r="AQ19" s="1170">
        <f t="array" ref="AQ19">1/SUMPRODUCT(IFERROR(1/AH19:AM19,0),'Mkt Pen Veh-Mi'!N19:S19)</f>
        <v>5.6494704469932113</v>
      </c>
      <c r="AR19" s="1163">
        <v>2017</v>
      </c>
      <c r="AS19" s="1165">
        <f t="shared" si="32"/>
        <v>1</v>
      </c>
      <c r="AT19" s="1166">
        <f t="shared" si="33"/>
        <v>1</v>
      </c>
      <c r="AU19" s="1166">
        <f t="shared" si="34"/>
        <v>1</v>
      </c>
      <c r="AV19" s="1170">
        <v>1</v>
      </c>
    </row>
    <row r="20" spans="1:48" s="1019" customFormat="1" ht="15" x14ac:dyDescent="0.25">
      <c r="A20" s="1034">
        <v>2018</v>
      </c>
      <c r="B20" s="1088">
        <f>IF('Mkt Pen Veh-Mi'!B20=0,1,1/((1-Fuel2ShrbyTech!B21)/'Inputs 7&amp;8 Sleep'!$N33+Fuel2ShrbyTech!B21/'Inputs 7&amp;8 Sleep'!$T33))</f>
        <v>6.3927777584473002</v>
      </c>
      <c r="C20" s="1089">
        <f>IF('Mkt Pen Veh-Mi'!C20=0,1,1/((1-Fuel2ShrbyTech!C21)/'Inputs 7&amp;8 Sleep'!$O33+Fuel2ShrbyTech!C21/'Inputs 7&amp;8 Sleep'!$U33))</f>
        <v>1</v>
      </c>
      <c r="D20" s="1089">
        <f>IF('Mkt Pen Veh-Mi'!D20=0,1,1/((1-Fuel2ShrbyTech!D21)/'Inputs 7&amp;8 Sleep'!$P33+Fuel2ShrbyTech!D21/'Inputs 7&amp;8 Sleep'!$V33))</f>
        <v>1</v>
      </c>
      <c r="E20" s="1089">
        <f>IF('Mkt Pen Veh-Mi'!E20=0,1,1/((1-Fuel2ShrbyTech!E21)/'Inputs 7&amp;8 Sleep'!$Q33+Fuel2ShrbyTech!E21/'Inputs 7&amp;8 Sleep'!$W33))</f>
        <v>1</v>
      </c>
      <c r="F20" s="1089">
        <f>IF('Mkt Pen Veh-Mi'!F20=0,1,1/((1-Fuel2ShrbyTech!F21)/'Inputs 7&amp;8 Sleep'!$R33+Fuel2ShrbyTech!F21/'Inputs 7&amp;8 Sleep'!$X33))</f>
        <v>1</v>
      </c>
      <c r="G20" s="1090">
        <f>IF('Mkt Pen Veh-Mi'!G20=0,1,1/((1-Fuel2ShrbyTech!G21)/'Inputs 7&amp;8 Sleep'!$S33+Fuel2ShrbyTech!G21/'Inputs 7&amp;8 Sleep'!$Y33))</f>
        <v>1</v>
      </c>
      <c r="H20" s="1088">
        <f>IF('Mkt Pen Veh-Mi'!H20=0,1,1/((1-Fuel2ShrbyTech!H21)/'Inputs 7&amp;8 Day'!$N33+Fuel2ShrbyTech!H21/'Inputs 7&amp;8 Day'!$T33))</f>
        <v>6.2496669392771844</v>
      </c>
      <c r="I20" s="1089">
        <f>IF('Mkt Pen Veh-Mi'!I20=0,1,1/((1-Fuel2ShrbyTech!I21)/'Inputs 7&amp;8 Day'!$O33+Fuel2ShrbyTech!I21/'Inputs 7&amp;8 Day'!$U33))</f>
        <v>1</v>
      </c>
      <c r="J20" s="1089">
        <f>IF('Mkt Pen Veh-Mi'!J20=0,1,1/((1-Fuel2ShrbyTech!J21)/'Inputs 7&amp;8 Day'!$P33+Fuel2ShrbyTech!J21/'Inputs 7&amp;8 Day'!$V33))</f>
        <v>1</v>
      </c>
      <c r="K20" s="1089">
        <f>IF('Mkt Pen Veh-Mi'!K20=0,1,1/((1-Fuel2ShrbyTech!K21)/'Inputs 7&amp;8 Day'!$Q33+Fuel2ShrbyTech!K21/'Inputs 7&amp;8 Day'!$W33))</f>
        <v>1</v>
      </c>
      <c r="L20" s="1089">
        <f>IF('Mkt Pen Veh-Mi'!L20=0,1,1/((1-Fuel2ShrbyTech!L21)/'Inputs 7&amp;8 Day'!$R33+Fuel2ShrbyTech!L21/'Inputs 7&amp;8 Day'!$X33))</f>
        <v>1</v>
      </c>
      <c r="M20" s="1090">
        <f>IF('Mkt Pen Veh-Mi'!M20=0,1,1/((1-Fuel2ShrbyTech!M21)/'Inputs 7&amp;8 Day'!$S33+Fuel2ShrbyTech!M21/'Inputs 7&amp;8 Day'!$Y33))</f>
        <v>1</v>
      </c>
      <c r="N20" s="1088">
        <f>IF('Mkt Pen Veh-Mi'!N20=0,1,1/((1-Fuel2ShrbyTech!N21)/'Inputs 7&amp;8 SU'!$N33+Fuel2ShrbyTech!N21/'Inputs 7&amp;8 SU'!$T33))</f>
        <v>5.9240566280970679</v>
      </c>
      <c r="O20" s="1089">
        <f>IF('Mkt Pen Veh-Mi'!O20=0,1,1/((1-Fuel2ShrbyTech!O21)/'Inputs 7&amp;8 SU'!$O33+Fuel2ShrbyTech!O21/'Inputs 7&amp;8 SU'!$U33))</f>
        <v>1</v>
      </c>
      <c r="P20" s="1089">
        <f>IF('Mkt Pen Veh-Mi'!P20=0,1,1/((1-Fuel2ShrbyTech!P21)/'Inputs 7&amp;8 SU'!$P33+Fuel2ShrbyTech!P21/'Inputs 7&amp;8 SU'!$V33))</f>
        <v>1</v>
      </c>
      <c r="Q20" s="1089">
        <f>IF('Mkt Pen Veh-Mi'!Q20=0,1,1/((1-Fuel2ShrbyTech!Q21)/'Inputs 7&amp;8 SU'!$Q33+Fuel2ShrbyTech!Q21/'Inputs 7&amp;8 SU'!$W33))</f>
        <v>1</v>
      </c>
      <c r="R20" s="1089">
        <f>IF('Mkt Pen Veh-Mi'!R20=0,1,1/((1-Fuel2ShrbyTech!R21)/'Inputs 7&amp;8 SU'!$R33+Fuel2ShrbyTech!R21/'Inputs 7&amp;8 SU'!$X33))</f>
        <v>1</v>
      </c>
      <c r="S20" s="1090">
        <f>IF('Mkt Pen Veh-Mi'!S20=0,1,1/((1-Fuel2ShrbyTech!S21)/'Inputs 7&amp;8 SU'!$S33+Fuel2ShrbyTech!S21/'Inputs 7&amp;8 SU'!$Y33))</f>
        <v>1</v>
      </c>
      <c r="U20" s="1034">
        <f t="shared" si="13"/>
        <v>2018</v>
      </c>
      <c r="V20" s="1088">
        <f t="shared" si="14"/>
        <v>6.3927777584473002</v>
      </c>
      <c r="W20" s="1089">
        <f t="shared" si="15"/>
        <v>0</v>
      </c>
      <c r="X20" s="1089">
        <f t="shared" si="16"/>
        <v>0</v>
      </c>
      <c r="Y20" s="1089">
        <f t="shared" si="17"/>
        <v>0</v>
      </c>
      <c r="Z20" s="1089">
        <f t="shared" si="18"/>
        <v>0</v>
      </c>
      <c r="AA20" s="1090">
        <f t="shared" si="19"/>
        <v>0</v>
      </c>
      <c r="AB20" s="1088">
        <f t="shared" si="20"/>
        <v>6.2496669392771844</v>
      </c>
      <c r="AC20" s="1089">
        <f t="shared" si="21"/>
        <v>0</v>
      </c>
      <c r="AD20" s="1089">
        <f t="shared" si="22"/>
        <v>0</v>
      </c>
      <c r="AE20" s="1089">
        <f t="shared" si="23"/>
        <v>0</v>
      </c>
      <c r="AF20" s="1089">
        <f t="shared" si="24"/>
        <v>0</v>
      </c>
      <c r="AG20" s="1090">
        <f t="shared" si="25"/>
        <v>0</v>
      </c>
      <c r="AH20" s="1088">
        <f t="shared" si="26"/>
        <v>5.9240566280970679</v>
      </c>
      <c r="AI20" s="1089">
        <f t="shared" si="27"/>
        <v>0</v>
      </c>
      <c r="AJ20" s="1089">
        <f t="shared" si="28"/>
        <v>0</v>
      </c>
      <c r="AK20" s="1089">
        <f t="shared" si="29"/>
        <v>0</v>
      </c>
      <c r="AL20" s="1089">
        <f t="shared" si="30"/>
        <v>0</v>
      </c>
      <c r="AM20" s="1090">
        <f t="shared" si="31"/>
        <v>0</v>
      </c>
      <c r="AN20" s="1019">
        <v>2018</v>
      </c>
      <c r="AO20" s="1165">
        <f t="array" ref="AO20">1/SUMPRODUCT(IFERROR(1/V20:AA20,0),'Mkt Pen Veh-Mi'!B20:G20)</f>
        <v>6.3927777584473002</v>
      </c>
      <c r="AP20" s="1166">
        <f t="array" ref="AP20">1/SUMPRODUCT(IFERROR(1/AB20:AG20,0),'Mkt Pen Veh-Mi'!H20:M20)</f>
        <v>6.2496669392771844</v>
      </c>
      <c r="AQ20" s="1170">
        <f t="array" ref="AQ20">1/SUMPRODUCT(IFERROR(1/AH20:AM20,0),'Mkt Pen Veh-Mi'!N20:S20)</f>
        <v>5.9240566280970679</v>
      </c>
      <c r="AR20" s="1163">
        <v>2018</v>
      </c>
      <c r="AS20" s="1165">
        <f t="shared" si="32"/>
        <v>1</v>
      </c>
      <c r="AT20" s="1166">
        <f t="shared" si="33"/>
        <v>1</v>
      </c>
      <c r="AU20" s="1166">
        <f t="shared" si="34"/>
        <v>1</v>
      </c>
      <c r="AV20" s="1170">
        <v>1</v>
      </c>
    </row>
    <row r="21" spans="1:48" s="1019" customFormat="1" ht="15" x14ac:dyDescent="0.25">
      <c r="A21" s="1034">
        <v>2019</v>
      </c>
      <c r="B21" s="1088">
        <f>IF('Mkt Pen Veh-Mi'!B21=0,1,1/((1-Fuel2ShrbyTech!B22)/'Inputs 7&amp;8 Sleep'!$N34+Fuel2ShrbyTech!B22/'Inputs 7&amp;8 Sleep'!$T34))</f>
        <v>6.433352026317448</v>
      </c>
      <c r="C21" s="1089">
        <f>IF('Mkt Pen Veh-Mi'!C21=0,1,1/((1-Fuel2ShrbyTech!C22)/'Inputs 7&amp;8 Sleep'!$O34+Fuel2ShrbyTech!C22/'Inputs 7&amp;8 Sleep'!$U34))</f>
        <v>1</v>
      </c>
      <c r="D21" s="1089">
        <f>IF('Mkt Pen Veh-Mi'!D21=0,1,1/((1-Fuel2ShrbyTech!D22)/'Inputs 7&amp;8 Sleep'!$P34+Fuel2ShrbyTech!D22/'Inputs 7&amp;8 Sleep'!$V34))</f>
        <v>1</v>
      </c>
      <c r="E21" s="1089">
        <f>IF('Mkt Pen Veh-Mi'!E21=0,1,1/((1-Fuel2ShrbyTech!E22)/'Inputs 7&amp;8 Sleep'!$Q34+Fuel2ShrbyTech!E22/'Inputs 7&amp;8 Sleep'!$W34))</f>
        <v>1</v>
      </c>
      <c r="F21" s="1089">
        <f>IF('Mkt Pen Veh-Mi'!F21=0,1,1/((1-Fuel2ShrbyTech!F22)/'Inputs 7&amp;8 Sleep'!$R34+Fuel2ShrbyTech!F22/'Inputs 7&amp;8 Sleep'!$X34))</f>
        <v>1</v>
      </c>
      <c r="G21" s="1090">
        <f>IF('Mkt Pen Veh-Mi'!G21=0,1,1/((1-Fuel2ShrbyTech!G22)/'Inputs 7&amp;8 Sleep'!$S34+Fuel2ShrbyTech!G22/'Inputs 7&amp;8 Sleep'!$Y34))</f>
        <v>1</v>
      </c>
      <c r="H21" s="1088">
        <f>IF('Mkt Pen Veh-Mi'!H21=0,1,1/((1-Fuel2ShrbyTech!H22)/'Inputs 7&amp;8 Day'!$N34+Fuel2ShrbyTech!H22/'Inputs 7&amp;8 Day'!$T34))</f>
        <v>6.2895072207890257</v>
      </c>
      <c r="I21" s="1089">
        <f>IF('Mkt Pen Veh-Mi'!I21=0,1,1/((1-Fuel2ShrbyTech!I22)/'Inputs 7&amp;8 Day'!$O34+Fuel2ShrbyTech!I22/'Inputs 7&amp;8 Day'!$U34))</f>
        <v>1</v>
      </c>
      <c r="J21" s="1089">
        <f>IF('Mkt Pen Veh-Mi'!J21=0,1,1/((1-Fuel2ShrbyTech!J22)/'Inputs 7&amp;8 Day'!$P34+Fuel2ShrbyTech!J22/'Inputs 7&amp;8 Day'!$V34))</f>
        <v>1</v>
      </c>
      <c r="K21" s="1089">
        <f>IF('Mkt Pen Veh-Mi'!K21=0,1,1/((1-Fuel2ShrbyTech!K22)/'Inputs 7&amp;8 Day'!$Q34+Fuel2ShrbyTech!K22/'Inputs 7&amp;8 Day'!$W34))</f>
        <v>1</v>
      </c>
      <c r="L21" s="1089">
        <f>IF('Mkt Pen Veh-Mi'!L21=0,1,1/((1-Fuel2ShrbyTech!L22)/'Inputs 7&amp;8 Day'!$R34+Fuel2ShrbyTech!L22/'Inputs 7&amp;8 Day'!$X34))</f>
        <v>1</v>
      </c>
      <c r="M21" s="1090">
        <f>IF('Mkt Pen Veh-Mi'!M21=0,1,1/((1-Fuel2ShrbyTech!M22)/'Inputs 7&amp;8 Day'!$S34+Fuel2ShrbyTech!M22/'Inputs 7&amp;8 Day'!$Y34))</f>
        <v>1</v>
      </c>
      <c r="N21" s="1088">
        <f>IF('Mkt Pen Veh-Mi'!N21=0,1,1/((1-Fuel2ShrbyTech!N22)/'Inputs 7&amp;8 SU'!$N34+Fuel2ShrbyTech!N22/'Inputs 7&amp;8 SU'!$T34))</f>
        <v>5.952860711436446</v>
      </c>
      <c r="O21" s="1089">
        <f>IF('Mkt Pen Veh-Mi'!O21=0,1,1/((1-Fuel2ShrbyTech!O22)/'Inputs 7&amp;8 SU'!$O34+Fuel2ShrbyTech!O22/'Inputs 7&amp;8 SU'!$U34))</f>
        <v>1</v>
      </c>
      <c r="P21" s="1089">
        <f>IF('Mkt Pen Veh-Mi'!P21=0,1,1/((1-Fuel2ShrbyTech!P22)/'Inputs 7&amp;8 SU'!$P34+Fuel2ShrbyTech!P22/'Inputs 7&amp;8 SU'!$V34))</f>
        <v>1</v>
      </c>
      <c r="Q21" s="1089">
        <f>IF('Mkt Pen Veh-Mi'!Q21=0,1,1/((1-Fuel2ShrbyTech!Q22)/'Inputs 7&amp;8 SU'!$Q34+Fuel2ShrbyTech!Q22/'Inputs 7&amp;8 SU'!$W34))</f>
        <v>1</v>
      </c>
      <c r="R21" s="1089">
        <f>IF('Mkt Pen Veh-Mi'!R21=0,1,1/((1-Fuel2ShrbyTech!R22)/'Inputs 7&amp;8 SU'!$R34+Fuel2ShrbyTech!R22/'Inputs 7&amp;8 SU'!$X34))</f>
        <v>1</v>
      </c>
      <c r="S21" s="1090">
        <f>IF('Mkt Pen Veh-Mi'!S21=0,1,1/((1-Fuel2ShrbyTech!S22)/'Inputs 7&amp;8 SU'!$S34+Fuel2ShrbyTech!S22/'Inputs 7&amp;8 SU'!$Y34))</f>
        <v>1</v>
      </c>
      <c r="U21" s="1034">
        <f t="shared" si="13"/>
        <v>2019</v>
      </c>
      <c r="V21" s="1088">
        <f t="shared" si="14"/>
        <v>6.433352026317448</v>
      </c>
      <c r="W21" s="1089">
        <f t="shared" si="15"/>
        <v>0</v>
      </c>
      <c r="X21" s="1089">
        <f t="shared" si="16"/>
        <v>0</v>
      </c>
      <c r="Y21" s="1089">
        <f t="shared" si="17"/>
        <v>0</v>
      </c>
      <c r="Z21" s="1089">
        <f t="shared" si="18"/>
        <v>0</v>
      </c>
      <c r="AA21" s="1090">
        <f t="shared" si="19"/>
        <v>0</v>
      </c>
      <c r="AB21" s="1088">
        <f t="shared" si="20"/>
        <v>6.2895072207890257</v>
      </c>
      <c r="AC21" s="1089">
        <f t="shared" si="21"/>
        <v>0</v>
      </c>
      <c r="AD21" s="1089">
        <f t="shared" si="22"/>
        <v>0</v>
      </c>
      <c r="AE21" s="1089">
        <f t="shared" si="23"/>
        <v>0</v>
      </c>
      <c r="AF21" s="1089">
        <f t="shared" si="24"/>
        <v>0</v>
      </c>
      <c r="AG21" s="1090">
        <f t="shared" si="25"/>
        <v>0</v>
      </c>
      <c r="AH21" s="1088">
        <f t="shared" si="26"/>
        <v>5.952860711436446</v>
      </c>
      <c r="AI21" s="1089">
        <f t="shared" si="27"/>
        <v>0</v>
      </c>
      <c r="AJ21" s="1089">
        <f t="shared" si="28"/>
        <v>0</v>
      </c>
      <c r="AK21" s="1089">
        <f t="shared" si="29"/>
        <v>0</v>
      </c>
      <c r="AL21" s="1089">
        <f t="shared" si="30"/>
        <v>0</v>
      </c>
      <c r="AM21" s="1090">
        <f t="shared" si="31"/>
        <v>0</v>
      </c>
      <c r="AN21" s="1019">
        <v>2019</v>
      </c>
      <c r="AO21" s="1165">
        <f t="array" ref="AO21">1/SUMPRODUCT(IFERROR(1/V21:AA21,0),'Mkt Pen Veh-Mi'!B21:G21)</f>
        <v>6.433352026317448</v>
      </c>
      <c r="AP21" s="1166">
        <f t="array" ref="AP21">1/SUMPRODUCT(IFERROR(1/AB21:AG21,0),'Mkt Pen Veh-Mi'!H21:M21)</f>
        <v>6.2895072207890257</v>
      </c>
      <c r="AQ21" s="1170">
        <f t="array" ref="AQ21">1/SUMPRODUCT(IFERROR(1/AH21:AM21,0),'Mkt Pen Veh-Mi'!N21:S21)</f>
        <v>5.952860711436446</v>
      </c>
      <c r="AR21" s="1163">
        <v>2019</v>
      </c>
      <c r="AS21" s="1165">
        <f t="shared" si="32"/>
        <v>1</v>
      </c>
      <c r="AT21" s="1166">
        <f t="shared" si="33"/>
        <v>1</v>
      </c>
      <c r="AU21" s="1166">
        <f t="shared" si="34"/>
        <v>1</v>
      </c>
      <c r="AV21" s="1170">
        <v>1</v>
      </c>
    </row>
    <row r="22" spans="1:48" s="1019" customFormat="1" ht="15" x14ac:dyDescent="0.25">
      <c r="A22" s="1040">
        <v>2020</v>
      </c>
      <c r="B22" s="1091">
        <f>IF('Mkt Pen Veh-Mi'!B22=0,1,1/((1-Fuel2ShrbyTech!B23)/'Inputs 7&amp;8 Sleep'!$N35+Fuel2ShrbyTech!B23/'Inputs 7&amp;8 Sleep'!$T35))</f>
        <v>6.4864337636120455</v>
      </c>
      <c r="C22" s="1092">
        <f>IF('Mkt Pen Veh-Mi'!C22=0,1,1/((1-Fuel2ShrbyTech!C23)/'Inputs 7&amp;8 Sleep'!$O35+Fuel2ShrbyTech!C23/'Inputs 7&amp;8 Sleep'!$U35))</f>
        <v>1</v>
      </c>
      <c r="D22" s="1092">
        <f>IF('Mkt Pen Veh-Mi'!D22=0,1,1/((1-Fuel2ShrbyTech!D23)/'Inputs 7&amp;8 Sleep'!$P35+Fuel2ShrbyTech!D23/'Inputs 7&amp;8 Sleep'!$V35))</f>
        <v>1</v>
      </c>
      <c r="E22" s="1092">
        <f>IF('Mkt Pen Veh-Mi'!E22=0,1,1/((1-Fuel2ShrbyTech!E23)/'Inputs 7&amp;8 Sleep'!$Q35+Fuel2ShrbyTech!E23/'Inputs 7&amp;8 Sleep'!$W35))</f>
        <v>1</v>
      </c>
      <c r="F22" s="1092">
        <f>IF('Mkt Pen Veh-Mi'!F22=0,1,1/((1-Fuel2ShrbyTech!F23)/'Inputs 7&amp;8 Sleep'!$R35+Fuel2ShrbyTech!F23/'Inputs 7&amp;8 Sleep'!$X35))</f>
        <v>1</v>
      </c>
      <c r="G22" s="1093">
        <f>IF('Mkt Pen Veh-Mi'!G22=0,1,1/((1-Fuel2ShrbyTech!G23)/'Inputs 7&amp;8 Sleep'!$S35+Fuel2ShrbyTech!G23/'Inputs 7&amp;8 Sleep'!$Y35))</f>
        <v>1</v>
      </c>
      <c r="H22" s="1091">
        <f>IF('Mkt Pen Veh-Mi'!H22=0,1,1/((1-Fuel2ShrbyTech!H23)/'Inputs 7&amp;8 Day'!$N35+Fuel2ShrbyTech!H23/'Inputs 7&amp;8 Day'!$T35))</f>
        <v>6.3438804932677693</v>
      </c>
      <c r="I22" s="1092">
        <f>IF('Mkt Pen Veh-Mi'!I22=0,1,1/((1-Fuel2ShrbyTech!I23)/'Inputs 7&amp;8 Day'!$O35+Fuel2ShrbyTech!I23/'Inputs 7&amp;8 Day'!$U35))</f>
        <v>1</v>
      </c>
      <c r="J22" s="1092">
        <f>IF('Mkt Pen Veh-Mi'!J22=0,1,1/((1-Fuel2ShrbyTech!J23)/'Inputs 7&amp;8 Day'!$P35+Fuel2ShrbyTech!J23/'Inputs 7&amp;8 Day'!$V35))</f>
        <v>1</v>
      </c>
      <c r="K22" s="1092">
        <f>IF('Mkt Pen Veh-Mi'!K22=0,1,1/((1-Fuel2ShrbyTech!K23)/'Inputs 7&amp;8 Day'!$Q35+Fuel2ShrbyTech!K23/'Inputs 7&amp;8 Day'!$W35))</f>
        <v>1</v>
      </c>
      <c r="L22" s="1092">
        <f>IF('Mkt Pen Veh-Mi'!L22=0,1,1/((1-Fuel2ShrbyTech!L23)/'Inputs 7&amp;8 Day'!$R35+Fuel2ShrbyTech!L23/'Inputs 7&amp;8 Day'!$X35))</f>
        <v>1</v>
      </c>
      <c r="M22" s="1093">
        <f>IF('Mkt Pen Veh-Mi'!M22=0,1,1/((1-Fuel2ShrbyTech!M23)/'Inputs 7&amp;8 Day'!$S35+Fuel2ShrbyTech!M23/'Inputs 7&amp;8 Day'!$Y35))</f>
        <v>1</v>
      </c>
      <c r="N22" s="1091">
        <f>IF('Mkt Pen Veh-Mi'!N22=0,1,1/((1-Fuel2ShrbyTech!N23)/'Inputs 7&amp;8 SU'!$N35+Fuel2ShrbyTech!N23/'Inputs 7&amp;8 SU'!$T35))</f>
        <v>5.9917803397176899</v>
      </c>
      <c r="O22" s="1092">
        <f>IF('Mkt Pen Veh-Mi'!O22=0,1,1/((1-Fuel2ShrbyTech!O23)/'Inputs 7&amp;8 SU'!$O35+Fuel2ShrbyTech!O23/'Inputs 7&amp;8 SU'!$U35))</f>
        <v>1</v>
      </c>
      <c r="P22" s="1092">
        <f>IF('Mkt Pen Veh-Mi'!P22=0,1,1/((1-Fuel2ShrbyTech!P23)/'Inputs 7&amp;8 SU'!$P35+Fuel2ShrbyTech!P23/'Inputs 7&amp;8 SU'!$V35))</f>
        <v>1</v>
      </c>
      <c r="Q22" s="1092">
        <f>IF('Mkt Pen Veh-Mi'!Q22=0,1,1/((1-Fuel2ShrbyTech!Q23)/'Inputs 7&amp;8 SU'!$Q35+Fuel2ShrbyTech!Q23/'Inputs 7&amp;8 SU'!$W35))</f>
        <v>1</v>
      </c>
      <c r="R22" s="1092">
        <f>IF('Mkt Pen Veh-Mi'!R22=0,1,1/((1-Fuel2ShrbyTech!R23)/'Inputs 7&amp;8 SU'!$R35+Fuel2ShrbyTech!R23/'Inputs 7&amp;8 SU'!$X35))</f>
        <v>1</v>
      </c>
      <c r="S22" s="1093">
        <f>IF('Mkt Pen Veh-Mi'!S22=0,1,1/((1-Fuel2ShrbyTech!S23)/'Inputs 7&amp;8 SU'!$S35+Fuel2ShrbyTech!S23/'Inputs 7&amp;8 SU'!$Y35))</f>
        <v>1</v>
      </c>
      <c r="U22" s="1040">
        <f t="shared" si="13"/>
        <v>2020</v>
      </c>
      <c r="V22" s="1091">
        <f t="shared" si="14"/>
        <v>6.4864337636120455</v>
      </c>
      <c r="W22" s="1092">
        <f t="shared" si="15"/>
        <v>0</v>
      </c>
      <c r="X22" s="1092">
        <f t="shared" si="16"/>
        <v>0</v>
      </c>
      <c r="Y22" s="1092">
        <f t="shared" si="17"/>
        <v>0</v>
      </c>
      <c r="Z22" s="1092">
        <f t="shared" si="18"/>
        <v>0</v>
      </c>
      <c r="AA22" s="1093">
        <f t="shared" si="19"/>
        <v>0</v>
      </c>
      <c r="AB22" s="1091">
        <f t="shared" si="20"/>
        <v>6.3438804932677693</v>
      </c>
      <c r="AC22" s="1092">
        <f t="shared" si="21"/>
        <v>0</v>
      </c>
      <c r="AD22" s="1092">
        <f t="shared" si="22"/>
        <v>0</v>
      </c>
      <c r="AE22" s="1092">
        <f t="shared" si="23"/>
        <v>0</v>
      </c>
      <c r="AF22" s="1092">
        <f t="shared" si="24"/>
        <v>0</v>
      </c>
      <c r="AG22" s="1093">
        <f t="shared" si="25"/>
        <v>0</v>
      </c>
      <c r="AH22" s="1091">
        <f t="shared" si="26"/>
        <v>5.9917803397176899</v>
      </c>
      <c r="AI22" s="1092">
        <f t="shared" si="27"/>
        <v>0</v>
      </c>
      <c r="AJ22" s="1092">
        <f t="shared" si="28"/>
        <v>0</v>
      </c>
      <c r="AK22" s="1092">
        <f t="shared" si="29"/>
        <v>0</v>
      </c>
      <c r="AL22" s="1092">
        <f t="shared" si="30"/>
        <v>0</v>
      </c>
      <c r="AM22" s="1093">
        <f t="shared" si="31"/>
        <v>0</v>
      </c>
      <c r="AN22" s="1019">
        <v>2020</v>
      </c>
      <c r="AO22" s="1165">
        <f t="array" ref="AO22">1/SUMPRODUCT(IFERROR(1/V22:AA22,0),'Mkt Pen Veh-Mi'!B22:G22)</f>
        <v>6.4864337636120455</v>
      </c>
      <c r="AP22" s="1166">
        <f t="array" ref="AP22">1/SUMPRODUCT(IFERROR(1/AB22:AG22,0),'Mkt Pen Veh-Mi'!H22:M22)</f>
        <v>6.3438804932677693</v>
      </c>
      <c r="AQ22" s="1170">
        <f t="array" ref="AQ22">1/SUMPRODUCT(IFERROR(1/AH22:AM22,0),'Mkt Pen Veh-Mi'!N22:S22)</f>
        <v>5.9917803397176899</v>
      </c>
      <c r="AR22" s="1163">
        <v>2020</v>
      </c>
      <c r="AS22" s="1165">
        <f t="shared" si="32"/>
        <v>1</v>
      </c>
      <c r="AT22" s="1166">
        <f t="shared" si="33"/>
        <v>1</v>
      </c>
      <c r="AU22" s="1166">
        <f t="shared" si="34"/>
        <v>1</v>
      </c>
      <c r="AV22" s="1170">
        <v>1</v>
      </c>
    </row>
    <row r="23" spans="1:48" s="1019" customFormat="1" ht="15" x14ac:dyDescent="0.25">
      <c r="A23" s="1034">
        <v>2021</v>
      </c>
      <c r="B23" s="1094">
        <f>IF('Mkt Pen Veh-Mi'!B23=0,1,1/((1-Fuel2ShrbyTech!B24)/'Inputs 7&amp;8 Sleep'!$N36+Fuel2ShrbyTech!B24/'Inputs 7&amp;8 Sleep'!$T36))</f>
        <v>6.4888939494054592</v>
      </c>
      <c r="C23" s="1095">
        <f>IF('Mkt Pen Veh-Mi'!C23=0,1,1/((1-Fuel2ShrbyTech!C24)/'Inputs 7&amp;8 Sleep'!$O36+Fuel2ShrbyTech!C24/'Inputs 7&amp;8 Sleep'!$U36))</f>
        <v>1</v>
      </c>
      <c r="D23" s="1095">
        <f>IF('Mkt Pen Veh-Mi'!D23=0,1,1/((1-Fuel2ShrbyTech!D24)/'Inputs 7&amp;8 Sleep'!$P36+Fuel2ShrbyTech!D24/'Inputs 7&amp;8 Sleep'!$V36))</f>
        <v>1</v>
      </c>
      <c r="E23" s="1095">
        <f>IF('Mkt Pen Veh-Mi'!E23=0,1,1/((1-Fuel2ShrbyTech!E24)/'Inputs 7&amp;8 Sleep'!$Q36+Fuel2ShrbyTech!E24/'Inputs 7&amp;8 Sleep'!$W36))</f>
        <v>1</v>
      </c>
      <c r="F23" s="1095">
        <f>IF('Mkt Pen Veh-Mi'!F23=0,1,1/((1-Fuel2ShrbyTech!F24)/'Inputs 7&amp;8 Sleep'!$R36+Fuel2ShrbyTech!F24/'Inputs 7&amp;8 Sleep'!$X36))</f>
        <v>1</v>
      </c>
      <c r="G23" s="1096">
        <f>IF('Mkt Pen Veh-Mi'!G23=0,1,1/((1-Fuel2ShrbyTech!G24)/'Inputs 7&amp;8 Sleep'!$S36+Fuel2ShrbyTech!G24/'Inputs 7&amp;8 Sleep'!$Y36))</f>
        <v>1</v>
      </c>
      <c r="H23" s="1094">
        <f>IF('Mkt Pen Veh-Mi'!H23=0,1,1/((1-Fuel2ShrbyTech!H24)/'Inputs 7&amp;8 Day'!$N36+Fuel2ShrbyTech!H24/'Inputs 7&amp;8 Day'!$T36))</f>
        <v>6.3480818446503209</v>
      </c>
      <c r="I23" s="1095">
        <f>IF('Mkt Pen Veh-Mi'!I23=0,1,1/((1-Fuel2ShrbyTech!I24)/'Inputs 7&amp;8 Day'!$O36+Fuel2ShrbyTech!I24/'Inputs 7&amp;8 Day'!$U36))</f>
        <v>1</v>
      </c>
      <c r="J23" s="1095">
        <f>IF('Mkt Pen Veh-Mi'!J23=0,1,1/((1-Fuel2ShrbyTech!J24)/'Inputs 7&amp;8 Day'!$P36+Fuel2ShrbyTech!J24/'Inputs 7&amp;8 Day'!$V36))</f>
        <v>1</v>
      </c>
      <c r="K23" s="1095">
        <f>IF('Mkt Pen Veh-Mi'!K23=0,1,1/((1-Fuel2ShrbyTech!K24)/'Inputs 7&amp;8 Day'!$Q36+Fuel2ShrbyTech!K24/'Inputs 7&amp;8 Day'!$W36))</f>
        <v>1</v>
      </c>
      <c r="L23" s="1095">
        <f>IF('Mkt Pen Veh-Mi'!L23=0,1,1/((1-Fuel2ShrbyTech!L24)/'Inputs 7&amp;8 Day'!$R36+Fuel2ShrbyTech!L24/'Inputs 7&amp;8 Day'!$X36))</f>
        <v>1</v>
      </c>
      <c r="M23" s="1096">
        <f>IF('Mkt Pen Veh-Mi'!M23=0,1,1/((1-Fuel2ShrbyTech!M24)/'Inputs 7&amp;8 Day'!$S36+Fuel2ShrbyTech!M24/'Inputs 7&amp;8 Day'!$Y36))</f>
        <v>1</v>
      </c>
      <c r="N23" s="1094">
        <f>IF('Mkt Pen Veh-Mi'!N23=0,1,1/((1-Fuel2ShrbyTech!N24)/'Inputs 7&amp;8 SU'!$N36+Fuel2ShrbyTech!N24/'Inputs 7&amp;8 SU'!$T36))</f>
        <v>6.1940987651005122</v>
      </c>
      <c r="O23" s="1095">
        <f>IF('Mkt Pen Veh-Mi'!O23=0,1,1/((1-Fuel2ShrbyTech!O24)/'Inputs 7&amp;8 SU'!$O36+Fuel2ShrbyTech!O24/'Inputs 7&amp;8 SU'!$U36))</f>
        <v>1</v>
      </c>
      <c r="P23" s="1095">
        <f>IF('Mkt Pen Veh-Mi'!P23=0,1,1/((1-Fuel2ShrbyTech!P24)/'Inputs 7&amp;8 SU'!$P36+Fuel2ShrbyTech!P24/'Inputs 7&amp;8 SU'!$V36))</f>
        <v>1</v>
      </c>
      <c r="Q23" s="1095">
        <f>IF('Mkt Pen Veh-Mi'!Q23=0,1,1/((1-Fuel2ShrbyTech!Q24)/'Inputs 7&amp;8 SU'!$Q36+Fuel2ShrbyTech!Q24/'Inputs 7&amp;8 SU'!$W36))</f>
        <v>1</v>
      </c>
      <c r="R23" s="1095">
        <f>IF('Mkt Pen Veh-Mi'!R23=0,1,1/((1-Fuel2ShrbyTech!R24)/'Inputs 7&amp;8 SU'!$R36+Fuel2ShrbyTech!R24/'Inputs 7&amp;8 SU'!$X36))</f>
        <v>1</v>
      </c>
      <c r="S23" s="1096">
        <f>IF('Mkt Pen Veh-Mi'!S23=0,1,1/((1-Fuel2ShrbyTech!S24)/'Inputs 7&amp;8 SU'!$S36+Fuel2ShrbyTech!S24/'Inputs 7&amp;8 SU'!$Y36))</f>
        <v>1</v>
      </c>
      <c r="U23" s="1034">
        <f t="shared" si="13"/>
        <v>2021</v>
      </c>
      <c r="V23" s="1094">
        <f t="shared" si="14"/>
        <v>6.4888939494054592</v>
      </c>
      <c r="W23" s="1095">
        <f t="shared" si="15"/>
        <v>0</v>
      </c>
      <c r="X23" s="1095">
        <f t="shared" si="16"/>
        <v>0</v>
      </c>
      <c r="Y23" s="1095">
        <f t="shared" si="17"/>
        <v>0</v>
      </c>
      <c r="Z23" s="1095">
        <f t="shared" si="18"/>
        <v>0</v>
      </c>
      <c r="AA23" s="1096">
        <f t="shared" si="19"/>
        <v>0</v>
      </c>
      <c r="AB23" s="1094">
        <f t="shared" si="20"/>
        <v>6.3480818446503209</v>
      </c>
      <c r="AC23" s="1095">
        <f t="shared" si="21"/>
        <v>0</v>
      </c>
      <c r="AD23" s="1095">
        <f t="shared" si="22"/>
        <v>0</v>
      </c>
      <c r="AE23" s="1095">
        <f t="shared" si="23"/>
        <v>0</v>
      </c>
      <c r="AF23" s="1095">
        <f t="shared" si="24"/>
        <v>0</v>
      </c>
      <c r="AG23" s="1096">
        <f t="shared" si="25"/>
        <v>0</v>
      </c>
      <c r="AH23" s="1094">
        <f t="shared" si="26"/>
        <v>6.1940987651005122</v>
      </c>
      <c r="AI23" s="1095">
        <f t="shared" si="27"/>
        <v>0</v>
      </c>
      <c r="AJ23" s="1095">
        <f t="shared" si="28"/>
        <v>0</v>
      </c>
      <c r="AK23" s="1095">
        <f t="shared" si="29"/>
        <v>0</v>
      </c>
      <c r="AL23" s="1095">
        <f t="shared" si="30"/>
        <v>0</v>
      </c>
      <c r="AM23" s="1096">
        <f t="shared" si="31"/>
        <v>0</v>
      </c>
      <c r="AN23" s="1019">
        <v>2021</v>
      </c>
      <c r="AO23" s="1165">
        <f t="array" ref="AO23">1/SUMPRODUCT(IFERROR(1/V23:AA23,0),'Mkt Pen Veh-Mi'!B23:G23)</f>
        <v>6.4888939494054592</v>
      </c>
      <c r="AP23" s="1166">
        <f t="array" ref="AP23">1/SUMPRODUCT(IFERROR(1/AB23:AG23,0),'Mkt Pen Veh-Mi'!H23:M23)</f>
        <v>6.3480818446503209</v>
      </c>
      <c r="AQ23" s="1170">
        <f t="array" ref="AQ23">1/SUMPRODUCT(IFERROR(1/AH23:AM23,0),'Mkt Pen Veh-Mi'!N23:S23)</f>
        <v>6.1940987651005122</v>
      </c>
      <c r="AR23" s="1163">
        <v>2021</v>
      </c>
      <c r="AS23" s="1165">
        <f t="shared" si="32"/>
        <v>1</v>
      </c>
      <c r="AT23" s="1166">
        <f t="shared" si="33"/>
        <v>1</v>
      </c>
      <c r="AU23" s="1166">
        <f t="shared" si="34"/>
        <v>1</v>
      </c>
      <c r="AV23" s="1170">
        <v>1.0014357770328348</v>
      </c>
    </row>
    <row r="24" spans="1:48" s="1019" customFormat="1" ht="15" x14ac:dyDescent="0.25">
      <c r="A24" s="1034">
        <v>2022</v>
      </c>
      <c r="B24" s="1088">
        <f>IF('Mkt Pen Veh-Mi'!B24=0,1,1/((1-Fuel2ShrbyTech!B25)/'Inputs 7&amp;8 Sleep'!$N37+Fuel2ShrbyTech!B25/'Inputs 7&amp;8 Sleep'!$T37))</f>
        <v>6.618661358461285</v>
      </c>
      <c r="C24" s="1089">
        <f>IF('Mkt Pen Veh-Mi'!C24=0,1,1/((1-Fuel2ShrbyTech!C25)/'Inputs 7&amp;8 Sleep'!$O37+Fuel2ShrbyTech!C25/'Inputs 7&amp;8 Sleep'!$U37))</f>
        <v>1</v>
      </c>
      <c r="D24" s="1089">
        <f>IF('Mkt Pen Veh-Mi'!D24=0,1,1/((1-Fuel2ShrbyTech!D25)/'Inputs 7&amp;8 Sleep'!$P37+Fuel2ShrbyTech!D25/'Inputs 7&amp;8 Sleep'!$V37))</f>
        <v>1</v>
      </c>
      <c r="E24" s="1089">
        <f>IF('Mkt Pen Veh-Mi'!E24=0,1,1/((1-Fuel2ShrbyTech!E25)/'Inputs 7&amp;8 Sleep'!$Q37+Fuel2ShrbyTech!E25/'Inputs 7&amp;8 Sleep'!$W37))</f>
        <v>1</v>
      </c>
      <c r="F24" s="1089">
        <f>IF('Mkt Pen Veh-Mi'!F24=0,1,1/((1-Fuel2ShrbyTech!F25)/'Inputs 7&amp;8 Sleep'!$R37+Fuel2ShrbyTech!F25/'Inputs 7&amp;8 Sleep'!$X37))</f>
        <v>1</v>
      </c>
      <c r="G24" s="1090">
        <f>IF('Mkt Pen Veh-Mi'!G24=0,1,1/((1-Fuel2ShrbyTech!G25)/'Inputs 7&amp;8 Sleep'!$S37+Fuel2ShrbyTech!G25/'Inputs 7&amp;8 Sleep'!$Y37))</f>
        <v>1</v>
      </c>
      <c r="H24" s="1088">
        <f>IF('Mkt Pen Veh-Mi'!H24=0,1,1/((1-Fuel2ShrbyTech!H25)/'Inputs 7&amp;8 Day'!$N37+Fuel2ShrbyTech!H25/'Inputs 7&amp;8 Day'!$T37))</f>
        <v>6.4291000607445872</v>
      </c>
      <c r="I24" s="1089">
        <f>IF('Mkt Pen Veh-Mi'!I24=0,1,1/((1-Fuel2ShrbyTech!I25)/'Inputs 7&amp;8 Day'!$O37+Fuel2ShrbyTech!I25/'Inputs 7&amp;8 Day'!$U37))</f>
        <v>1</v>
      </c>
      <c r="J24" s="1089">
        <f>IF('Mkt Pen Veh-Mi'!J24=0,1,1/((1-Fuel2ShrbyTech!J25)/'Inputs 7&amp;8 Day'!$P37+Fuel2ShrbyTech!J25/'Inputs 7&amp;8 Day'!$V37))</f>
        <v>1</v>
      </c>
      <c r="K24" s="1089">
        <f>IF('Mkt Pen Veh-Mi'!K24=0,1,1/((1-Fuel2ShrbyTech!K25)/'Inputs 7&amp;8 Day'!$Q37+Fuel2ShrbyTech!K25/'Inputs 7&amp;8 Day'!$W37))</f>
        <v>1</v>
      </c>
      <c r="L24" s="1089">
        <f>IF('Mkt Pen Veh-Mi'!L24=0,1,1/((1-Fuel2ShrbyTech!L25)/'Inputs 7&amp;8 Day'!$R37+Fuel2ShrbyTech!L25/'Inputs 7&amp;8 Day'!$X37))</f>
        <v>1</v>
      </c>
      <c r="M24" s="1090">
        <f>IF('Mkt Pen Veh-Mi'!M24=0,1,1/((1-Fuel2ShrbyTech!M25)/'Inputs 7&amp;8 Day'!$S37+Fuel2ShrbyTech!M25/'Inputs 7&amp;8 Day'!$Y37))</f>
        <v>1</v>
      </c>
      <c r="N24" s="1088">
        <f>IF('Mkt Pen Veh-Mi'!N24=0,1,1/((1-Fuel2ShrbyTech!N25)/'Inputs 7&amp;8 SU'!$N37+Fuel2ShrbyTech!N25/'Inputs 7&amp;8 SU'!$T37))</f>
        <v>6.3185291641470558</v>
      </c>
      <c r="O24" s="1089">
        <f>IF('Mkt Pen Veh-Mi'!O24=0,1,1/((1-Fuel2ShrbyTech!O25)/'Inputs 7&amp;8 SU'!$O37+Fuel2ShrbyTech!O25/'Inputs 7&amp;8 SU'!$U37))</f>
        <v>1</v>
      </c>
      <c r="P24" s="1089">
        <f>IF('Mkt Pen Veh-Mi'!P24=0,1,1/((1-Fuel2ShrbyTech!P25)/'Inputs 7&amp;8 SU'!$P37+Fuel2ShrbyTech!P25/'Inputs 7&amp;8 SU'!$V37))</f>
        <v>1</v>
      </c>
      <c r="Q24" s="1089">
        <f>IF('Mkt Pen Veh-Mi'!Q24=0,1,1/((1-Fuel2ShrbyTech!Q25)/'Inputs 7&amp;8 SU'!$Q37+Fuel2ShrbyTech!Q25/'Inputs 7&amp;8 SU'!$W37))</f>
        <v>1</v>
      </c>
      <c r="R24" s="1089">
        <f>IF('Mkt Pen Veh-Mi'!R24=0,1,1/((1-Fuel2ShrbyTech!R25)/'Inputs 7&amp;8 SU'!$R37+Fuel2ShrbyTech!R25/'Inputs 7&amp;8 SU'!$X37))</f>
        <v>1</v>
      </c>
      <c r="S24" s="1090">
        <f>IF('Mkt Pen Veh-Mi'!S24=0,1,1/((1-Fuel2ShrbyTech!S25)/'Inputs 7&amp;8 SU'!$S37+Fuel2ShrbyTech!S25/'Inputs 7&amp;8 SU'!$Y37))</f>
        <v>1</v>
      </c>
      <c r="U24" s="1034">
        <f t="shared" si="13"/>
        <v>2022</v>
      </c>
      <c r="V24" s="1088">
        <f t="shared" si="14"/>
        <v>6.618661358461285</v>
      </c>
      <c r="W24" s="1089">
        <f t="shared" si="15"/>
        <v>0</v>
      </c>
      <c r="X24" s="1089">
        <f t="shared" si="16"/>
        <v>0</v>
      </c>
      <c r="Y24" s="1089">
        <f t="shared" si="17"/>
        <v>0</v>
      </c>
      <c r="Z24" s="1089">
        <f t="shared" si="18"/>
        <v>0</v>
      </c>
      <c r="AA24" s="1090">
        <f t="shared" si="19"/>
        <v>0</v>
      </c>
      <c r="AB24" s="1088">
        <f t="shared" si="20"/>
        <v>6.4291000607445872</v>
      </c>
      <c r="AC24" s="1089">
        <f t="shared" si="21"/>
        <v>0</v>
      </c>
      <c r="AD24" s="1089">
        <f t="shared" si="22"/>
        <v>0</v>
      </c>
      <c r="AE24" s="1089">
        <f t="shared" si="23"/>
        <v>0</v>
      </c>
      <c r="AF24" s="1089">
        <f t="shared" si="24"/>
        <v>0</v>
      </c>
      <c r="AG24" s="1090">
        <f t="shared" si="25"/>
        <v>0</v>
      </c>
      <c r="AH24" s="1088">
        <f t="shared" si="26"/>
        <v>6.3185291641470558</v>
      </c>
      <c r="AI24" s="1089">
        <f t="shared" si="27"/>
        <v>0</v>
      </c>
      <c r="AJ24" s="1089">
        <f t="shared" si="28"/>
        <v>0</v>
      </c>
      <c r="AK24" s="1089">
        <f t="shared" si="29"/>
        <v>0</v>
      </c>
      <c r="AL24" s="1089">
        <f t="shared" si="30"/>
        <v>0</v>
      </c>
      <c r="AM24" s="1090">
        <f t="shared" si="31"/>
        <v>0</v>
      </c>
      <c r="AN24" s="1019">
        <v>2022</v>
      </c>
      <c r="AO24" s="1165">
        <f t="array" ref="AO24">1/SUMPRODUCT(IFERROR(1/V24:AA24,0),'Mkt Pen Veh-Mi'!B24:G24)</f>
        <v>6.618661358461285</v>
      </c>
      <c r="AP24" s="1166">
        <f t="array" ref="AP24">1/SUMPRODUCT(IFERROR(1/AB24:AG24,0),'Mkt Pen Veh-Mi'!H24:M24)</f>
        <v>6.4291000607445872</v>
      </c>
      <c r="AQ24" s="1170">
        <f t="array" ref="AQ24">1/SUMPRODUCT(IFERROR(1/AH24:AM24,0),'Mkt Pen Veh-Mi'!N24:S24)</f>
        <v>6.3185291641470558</v>
      </c>
      <c r="AR24" s="1163">
        <v>2022</v>
      </c>
      <c r="AS24" s="1165">
        <f t="shared" si="32"/>
        <v>1</v>
      </c>
      <c r="AT24" s="1166">
        <f t="shared" si="33"/>
        <v>1</v>
      </c>
      <c r="AU24" s="1166">
        <f t="shared" si="34"/>
        <v>1</v>
      </c>
      <c r="AV24" s="1170">
        <v>1.0062505931411208</v>
      </c>
    </row>
    <row r="25" spans="1:48" s="1019" customFormat="1" ht="15" x14ac:dyDescent="0.25">
      <c r="A25" s="1034">
        <v>2023</v>
      </c>
      <c r="B25" s="1088">
        <f>IF('Mkt Pen Veh-Mi'!B25=0,1,1/((1-Fuel2ShrbyTech!B26)/'Inputs 7&amp;8 Sleep'!$N38+Fuel2ShrbyTech!B26/'Inputs 7&amp;8 Sleep'!$T38))</f>
        <v>6.7394727631646916</v>
      </c>
      <c r="C25" s="1089">
        <f>IF('Mkt Pen Veh-Mi'!C25=0,1,1/((1-Fuel2ShrbyTech!C26)/'Inputs 7&amp;8 Sleep'!$O38+Fuel2ShrbyTech!C26/'Inputs 7&amp;8 Sleep'!$U38))</f>
        <v>1</v>
      </c>
      <c r="D25" s="1089">
        <f>IF('Mkt Pen Veh-Mi'!D25=0,1,1/((1-Fuel2ShrbyTech!D26)/'Inputs 7&amp;8 Sleep'!$P38+Fuel2ShrbyTech!D26/'Inputs 7&amp;8 Sleep'!$V38))</f>
        <v>1</v>
      </c>
      <c r="E25" s="1089">
        <f>IF('Mkt Pen Veh-Mi'!E25=0,1,1/((1-Fuel2ShrbyTech!E26)/'Inputs 7&amp;8 Sleep'!$Q38+Fuel2ShrbyTech!E26/'Inputs 7&amp;8 Sleep'!$W38))</f>
        <v>1</v>
      </c>
      <c r="F25" s="1089">
        <f>IF('Mkt Pen Veh-Mi'!F25=0,1,1/((1-Fuel2ShrbyTech!F26)/'Inputs 7&amp;8 Sleep'!$R38+Fuel2ShrbyTech!F26/'Inputs 7&amp;8 Sleep'!$X38))</f>
        <v>1</v>
      </c>
      <c r="G25" s="1090">
        <f>IF('Mkt Pen Veh-Mi'!G25=0,1,1/((1-Fuel2ShrbyTech!G26)/'Inputs 7&amp;8 Sleep'!$S38+Fuel2ShrbyTech!G26/'Inputs 7&amp;8 Sleep'!$Y38))</f>
        <v>1</v>
      </c>
      <c r="H25" s="1088">
        <f>IF('Mkt Pen Veh-Mi'!H25=0,1,1/((1-Fuel2ShrbyTech!H26)/'Inputs 7&amp;8 Day'!$N38+Fuel2ShrbyTech!H26/'Inputs 7&amp;8 Day'!$T38))</f>
        <v>6.5254599640226782</v>
      </c>
      <c r="I25" s="1089">
        <f>IF('Mkt Pen Veh-Mi'!I25=0,1,1/((1-Fuel2ShrbyTech!I26)/'Inputs 7&amp;8 Day'!$O38+Fuel2ShrbyTech!I26/'Inputs 7&amp;8 Day'!$U38))</f>
        <v>1</v>
      </c>
      <c r="J25" s="1089">
        <f>IF('Mkt Pen Veh-Mi'!J25=0,1,1/((1-Fuel2ShrbyTech!J26)/'Inputs 7&amp;8 Day'!$P38+Fuel2ShrbyTech!J26/'Inputs 7&amp;8 Day'!$V38))</f>
        <v>1</v>
      </c>
      <c r="K25" s="1089">
        <f>IF('Mkt Pen Veh-Mi'!K25=0,1,1/((1-Fuel2ShrbyTech!K26)/'Inputs 7&amp;8 Day'!$Q38+Fuel2ShrbyTech!K26/'Inputs 7&amp;8 Day'!$W38))</f>
        <v>1</v>
      </c>
      <c r="L25" s="1089">
        <f>IF('Mkt Pen Veh-Mi'!L25=0,1,1/((1-Fuel2ShrbyTech!L26)/'Inputs 7&amp;8 Day'!$R38+Fuel2ShrbyTech!L26/'Inputs 7&amp;8 Day'!$X38))</f>
        <v>1</v>
      </c>
      <c r="M25" s="1090">
        <f>IF('Mkt Pen Veh-Mi'!M25=0,1,1/((1-Fuel2ShrbyTech!M26)/'Inputs 7&amp;8 Day'!$S38+Fuel2ShrbyTech!M26/'Inputs 7&amp;8 Day'!$Y38))</f>
        <v>1</v>
      </c>
      <c r="N25" s="1088">
        <f>IF('Mkt Pen Veh-Mi'!N25=0,1,1/((1-Fuel2ShrbyTech!N26)/'Inputs 7&amp;8 SU'!$N38+Fuel2ShrbyTech!N26/'Inputs 7&amp;8 SU'!$T38))</f>
        <v>6.4751097824714527</v>
      </c>
      <c r="O25" s="1089">
        <f>IF('Mkt Pen Veh-Mi'!O25=0,1,1/((1-Fuel2ShrbyTech!O26)/'Inputs 7&amp;8 SU'!$O38+Fuel2ShrbyTech!O26/'Inputs 7&amp;8 SU'!$U38))</f>
        <v>1</v>
      </c>
      <c r="P25" s="1089">
        <f>IF('Mkt Pen Veh-Mi'!P25=0,1,1/((1-Fuel2ShrbyTech!P26)/'Inputs 7&amp;8 SU'!$P38+Fuel2ShrbyTech!P26/'Inputs 7&amp;8 SU'!$V38))</f>
        <v>1</v>
      </c>
      <c r="Q25" s="1089">
        <f>IF('Mkt Pen Veh-Mi'!Q25=0,1,1/((1-Fuel2ShrbyTech!Q26)/'Inputs 7&amp;8 SU'!$Q38+Fuel2ShrbyTech!Q26/'Inputs 7&amp;8 SU'!$W38))</f>
        <v>1</v>
      </c>
      <c r="R25" s="1089">
        <f>IF('Mkt Pen Veh-Mi'!R25=0,1,1/((1-Fuel2ShrbyTech!R26)/'Inputs 7&amp;8 SU'!$R38+Fuel2ShrbyTech!R26/'Inputs 7&amp;8 SU'!$X38))</f>
        <v>1</v>
      </c>
      <c r="S25" s="1090">
        <f>IF('Mkt Pen Veh-Mi'!S25=0,1,1/((1-Fuel2ShrbyTech!S26)/'Inputs 7&amp;8 SU'!$S38+Fuel2ShrbyTech!S26/'Inputs 7&amp;8 SU'!$Y38))</f>
        <v>1</v>
      </c>
      <c r="U25" s="1034">
        <f t="shared" si="13"/>
        <v>2023</v>
      </c>
      <c r="V25" s="1088">
        <f t="shared" si="14"/>
        <v>6.7394727631646916</v>
      </c>
      <c r="W25" s="1089">
        <f t="shared" si="15"/>
        <v>0</v>
      </c>
      <c r="X25" s="1089">
        <f t="shared" si="16"/>
        <v>0</v>
      </c>
      <c r="Y25" s="1089">
        <f t="shared" si="17"/>
        <v>0</v>
      </c>
      <c r="Z25" s="1089">
        <f t="shared" si="18"/>
        <v>0</v>
      </c>
      <c r="AA25" s="1090">
        <f t="shared" si="19"/>
        <v>0</v>
      </c>
      <c r="AB25" s="1088">
        <f t="shared" si="20"/>
        <v>6.5254599640226782</v>
      </c>
      <c r="AC25" s="1089">
        <f t="shared" si="21"/>
        <v>0</v>
      </c>
      <c r="AD25" s="1089">
        <f t="shared" si="22"/>
        <v>0</v>
      </c>
      <c r="AE25" s="1089">
        <f t="shared" si="23"/>
        <v>0</v>
      </c>
      <c r="AF25" s="1089">
        <f t="shared" si="24"/>
        <v>0</v>
      </c>
      <c r="AG25" s="1090">
        <f t="shared" si="25"/>
        <v>0</v>
      </c>
      <c r="AH25" s="1088">
        <f t="shared" si="26"/>
        <v>6.4751097824714527</v>
      </c>
      <c r="AI25" s="1089">
        <f t="shared" si="27"/>
        <v>0</v>
      </c>
      <c r="AJ25" s="1089">
        <f t="shared" si="28"/>
        <v>0</v>
      </c>
      <c r="AK25" s="1089">
        <f t="shared" si="29"/>
        <v>0</v>
      </c>
      <c r="AL25" s="1089">
        <f t="shared" si="30"/>
        <v>0</v>
      </c>
      <c r="AM25" s="1090">
        <f t="shared" si="31"/>
        <v>0</v>
      </c>
      <c r="AN25" s="1019">
        <v>2023</v>
      </c>
      <c r="AO25" s="1165">
        <f t="array" ref="AO25">1/SUMPRODUCT(IFERROR(1/V25:AA25,0),'Mkt Pen Veh-Mi'!B25:G25)</f>
        <v>6.7394727631646916</v>
      </c>
      <c r="AP25" s="1166">
        <f t="array" ref="AP25">1/SUMPRODUCT(IFERROR(1/AB25:AG25,0),'Mkt Pen Veh-Mi'!H25:M25)</f>
        <v>6.5254599640226782</v>
      </c>
      <c r="AQ25" s="1170">
        <f t="array" ref="AQ25">1/SUMPRODUCT(IFERROR(1/AH25:AM25,0),'Mkt Pen Veh-Mi'!N25:S25)</f>
        <v>6.4751097824714527</v>
      </c>
      <c r="AR25" s="1163">
        <v>2023</v>
      </c>
      <c r="AS25" s="1165">
        <f t="shared" si="32"/>
        <v>1</v>
      </c>
      <c r="AT25" s="1166">
        <f t="shared" si="33"/>
        <v>1</v>
      </c>
      <c r="AU25" s="1166">
        <f t="shared" si="34"/>
        <v>1</v>
      </c>
      <c r="AV25" s="1170">
        <v>1.0208046069018777</v>
      </c>
    </row>
    <row r="26" spans="1:48" s="1019" customFormat="1" ht="15" x14ac:dyDescent="0.25">
      <c r="A26" s="1034">
        <v>2024</v>
      </c>
      <c r="B26" s="1088">
        <f>IF('Mkt Pen Veh-Mi'!B26=0,1,1/((1-Fuel2ShrbyTech!B27)/'Inputs 7&amp;8 Sleep'!$N39+Fuel2ShrbyTech!B27/'Inputs 7&amp;8 Sleep'!$T39))</f>
        <v>6.8995357521942369</v>
      </c>
      <c r="C26" s="1089">
        <f>IF('Mkt Pen Veh-Mi'!C26=0,1,1/((1-Fuel2ShrbyTech!C27)/'Inputs 7&amp;8 Sleep'!$O39+Fuel2ShrbyTech!C27/'Inputs 7&amp;8 Sleep'!$U39))</f>
        <v>1</v>
      </c>
      <c r="D26" s="1089">
        <f>IF('Mkt Pen Veh-Mi'!D26=0,1,1/((1-Fuel2ShrbyTech!D27)/'Inputs 7&amp;8 Sleep'!$P39+Fuel2ShrbyTech!D27/'Inputs 7&amp;8 Sleep'!$V39))</f>
        <v>1</v>
      </c>
      <c r="E26" s="1089">
        <f>IF('Mkt Pen Veh-Mi'!E26=0,1,1/((1-Fuel2ShrbyTech!E27)/'Inputs 7&amp;8 Sleep'!$Q39+Fuel2ShrbyTech!E27/'Inputs 7&amp;8 Sleep'!$W39))</f>
        <v>1</v>
      </c>
      <c r="F26" s="1089">
        <f>IF('Mkt Pen Veh-Mi'!F26=0,1,1/((1-Fuel2ShrbyTech!F27)/'Inputs 7&amp;8 Sleep'!$R39+Fuel2ShrbyTech!F27/'Inputs 7&amp;8 Sleep'!$X39))</f>
        <v>1</v>
      </c>
      <c r="G26" s="1090">
        <f>IF('Mkt Pen Veh-Mi'!G26=0,1,1/((1-Fuel2ShrbyTech!G27)/'Inputs 7&amp;8 Sleep'!$S39+Fuel2ShrbyTech!G27/'Inputs 7&amp;8 Sleep'!$Y39))</f>
        <v>1</v>
      </c>
      <c r="H26" s="1088">
        <f>IF('Mkt Pen Veh-Mi'!H26=0,1,1/((1-Fuel2ShrbyTech!H27)/'Inputs 7&amp;8 Day'!$N39+Fuel2ShrbyTech!H27/'Inputs 7&amp;8 Day'!$T39))</f>
        <v>6.6581303524586462</v>
      </c>
      <c r="I26" s="1089">
        <f>IF('Mkt Pen Veh-Mi'!I26=0,1,1/((1-Fuel2ShrbyTech!I27)/'Inputs 7&amp;8 Day'!$O39+Fuel2ShrbyTech!I27/'Inputs 7&amp;8 Day'!$U39))</f>
        <v>1</v>
      </c>
      <c r="J26" s="1089">
        <f>IF('Mkt Pen Veh-Mi'!J26=0,1,1/((1-Fuel2ShrbyTech!J27)/'Inputs 7&amp;8 Day'!$P39+Fuel2ShrbyTech!J27/'Inputs 7&amp;8 Day'!$V39))</f>
        <v>1</v>
      </c>
      <c r="K26" s="1089">
        <f>IF('Mkt Pen Veh-Mi'!K26=0,1,1/((1-Fuel2ShrbyTech!K27)/'Inputs 7&amp;8 Day'!$Q39+Fuel2ShrbyTech!K27/'Inputs 7&amp;8 Day'!$W39))</f>
        <v>1</v>
      </c>
      <c r="L26" s="1089">
        <f>IF('Mkt Pen Veh-Mi'!L26=0,1,1/((1-Fuel2ShrbyTech!L27)/'Inputs 7&amp;8 Day'!$R39+Fuel2ShrbyTech!L27/'Inputs 7&amp;8 Day'!$X39))</f>
        <v>1</v>
      </c>
      <c r="M26" s="1090">
        <f>IF('Mkt Pen Veh-Mi'!M26=0,1,1/((1-Fuel2ShrbyTech!M27)/'Inputs 7&amp;8 Day'!$S39+Fuel2ShrbyTech!M27/'Inputs 7&amp;8 Day'!$Y39))</f>
        <v>1</v>
      </c>
      <c r="N26" s="1088">
        <f>IF('Mkt Pen Veh-Mi'!N26=0,1,1/((1-Fuel2ShrbyTech!N27)/'Inputs 7&amp;8 SU'!$N39+Fuel2ShrbyTech!N27/'Inputs 7&amp;8 SU'!$T39))</f>
        <v>6.6492529214040559</v>
      </c>
      <c r="O26" s="1089">
        <f>IF('Mkt Pen Veh-Mi'!O26=0,1,1/((1-Fuel2ShrbyTech!O27)/'Inputs 7&amp;8 SU'!$O39+Fuel2ShrbyTech!O27/'Inputs 7&amp;8 SU'!$U39))</f>
        <v>1</v>
      </c>
      <c r="P26" s="1089">
        <f>IF('Mkt Pen Veh-Mi'!P26=0,1,1/((1-Fuel2ShrbyTech!P27)/'Inputs 7&amp;8 SU'!$P39+Fuel2ShrbyTech!P27/'Inputs 7&amp;8 SU'!$V39))</f>
        <v>1</v>
      </c>
      <c r="Q26" s="1089">
        <f>IF('Mkt Pen Veh-Mi'!Q26=0,1,1/((1-Fuel2ShrbyTech!Q27)/'Inputs 7&amp;8 SU'!$Q39+Fuel2ShrbyTech!Q27/'Inputs 7&amp;8 SU'!$W39))</f>
        <v>1</v>
      </c>
      <c r="R26" s="1089">
        <f>IF('Mkt Pen Veh-Mi'!R26=0,1,1/((1-Fuel2ShrbyTech!R27)/'Inputs 7&amp;8 SU'!$R39+Fuel2ShrbyTech!R27/'Inputs 7&amp;8 SU'!$X39))</f>
        <v>1</v>
      </c>
      <c r="S26" s="1090">
        <f>IF('Mkt Pen Veh-Mi'!S26=0,1,1/((1-Fuel2ShrbyTech!S27)/'Inputs 7&amp;8 SU'!$S39+Fuel2ShrbyTech!S27/'Inputs 7&amp;8 SU'!$Y39))</f>
        <v>1</v>
      </c>
      <c r="U26" s="1034">
        <f t="shared" si="13"/>
        <v>2024</v>
      </c>
      <c r="V26" s="1088">
        <f t="shared" si="14"/>
        <v>6.8995357521942369</v>
      </c>
      <c r="W26" s="1089">
        <f t="shared" si="15"/>
        <v>0</v>
      </c>
      <c r="X26" s="1089">
        <f t="shared" si="16"/>
        <v>0</v>
      </c>
      <c r="Y26" s="1089">
        <f t="shared" si="17"/>
        <v>0</v>
      </c>
      <c r="Z26" s="1089">
        <f t="shared" si="18"/>
        <v>0</v>
      </c>
      <c r="AA26" s="1090">
        <f t="shared" si="19"/>
        <v>0</v>
      </c>
      <c r="AB26" s="1088">
        <f t="shared" si="20"/>
        <v>6.6581303524586462</v>
      </c>
      <c r="AC26" s="1089">
        <f t="shared" si="21"/>
        <v>0</v>
      </c>
      <c r="AD26" s="1089">
        <f t="shared" si="22"/>
        <v>0</v>
      </c>
      <c r="AE26" s="1089">
        <f t="shared" si="23"/>
        <v>0</v>
      </c>
      <c r="AF26" s="1089">
        <f t="shared" si="24"/>
        <v>0</v>
      </c>
      <c r="AG26" s="1090">
        <f t="shared" si="25"/>
        <v>0</v>
      </c>
      <c r="AH26" s="1088">
        <f t="shared" si="26"/>
        <v>6.6492529214040559</v>
      </c>
      <c r="AI26" s="1089">
        <f t="shared" si="27"/>
        <v>0</v>
      </c>
      <c r="AJ26" s="1089">
        <f t="shared" si="28"/>
        <v>0</v>
      </c>
      <c r="AK26" s="1089">
        <f t="shared" si="29"/>
        <v>0</v>
      </c>
      <c r="AL26" s="1089">
        <f t="shared" si="30"/>
        <v>0</v>
      </c>
      <c r="AM26" s="1090">
        <f t="shared" si="31"/>
        <v>0</v>
      </c>
      <c r="AN26" s="1019">
        <v>2024</v>
      </c>
      <c r="AO26" s="1165">
        <f t="array" ref="AO26">1/SUMPRODUCT(IFERROR(1/V26:AA26,0),'Mkt Pen Veh-Mi'!B26:G26)</f>
        <v>6.8995357521942369</v>
      </c>
      <c r="AP26" s="1166">
        <f t="array" ref="AP26">1/SUMPRODUCT(IFERROR(1/AB26:AG26,0),'Mkt Pen Veh-Mi'!H26:M26)</f>
        <v>6.6581303524586462</v>
      </c>
      <c r="AQ26" s="1170">
        <f t="array" ref="AQ26">1/SUMPRODUCT(IFERROR(1/AH26:AM26,0),'Mkt Pen Veh-Mi'!N26:S26)</f>
        <v>6.6492529214040559</v>
      </c>
      <c r="AR26" s="1163">
        <v>2024</v>
      </c>
      <c r="AS26" s="1165">
        <f t="shared" si="32"/>
        <v>1</v>
      </c>
      <c r="AT26" s="1166">
        <f t="shared" si="33"/>
        <v>1</v>
      </c>
      <c r="AU26" s="1166">
        <f t="shared" si="34"/>
        <v>1</v>
      </c>
      <c r="AV26" s="1170">
        <v>1.0542395624100738</v>
      </c>
    </row>
    <row r="27" spans="1:48" s="1019" customFormat="1" ht="15" x14ac:dyDescent="0.25">
      <c r="A27" s="1040">
        <v>2025</v>
      </c>
      <c r="B27" s="1091">
        <f>IF('Mkt Pen Veh-Mi'!B27=0,1,1/((1-Fuel2ShrbyTech!B28)/'Inputs 7&amp;8 Sleep'!$N40+Fuel2ShrbyTech!B28/'Inputs 7&amp;8 Sleep'!$T40))</f>
        <v>7.0826454244148485</v>
      </c>
      <c r="C27" s="1092">
        <f>IF('Mkt Pen Veh-Mi'!C27=0,1,1/((1-Fuel2ShrbyTech!C28)/'Inputs 7&amp;8 Sleep'!$O40+Fuel2ShrbyTech!C28/'Inputs 7&amp;8 Sleep'!$U40))</f>
        <v>1</v>
      </c>
      <c r="D27" s="1092">
        <f>IF('Mkt Pen Veh-Mi'!D27=0,1,1/((1-Fuel2ShrbyTech!D28)/'Inputs 7&amp;8 Sleep'!$P40+Fuel2ShrbyTech!D28/'Inputs 7&amp;8 Sleep'!$V40))</f>
        <v>1</v>
      </c>
      <c r="E27" s="1092">
        <f>IF('Mkt Pen Veh-Mi'!E27=0,1,1/((1-Fuel2ShrbyTech!E28)/'Inputs 7&amp;8 Sleep'!$Q40+Fuel2ShrbyTech!E28/'Inputs 7&amp;8 Sleep'!$W40))</f>
        <v>1</v>
      </c>
      <c r="F27" s="1092">
        <f>IF('Mkt Pen Veh-Mi'!F27=0,1,1/((1-Fuel2ShrbyTech!F28)/'Inputs 7&amp;8 Sleep'!$R40+Fuel2ShrbyTech!F28/'Inputs 7&amp;8 Sleep'!$X40))</f>
        <v>1</v>
      </c>
      <c r="G27" s="1093">
        <f>IF('Mkt Pen Veh-Mi'!G27=0,1,1/((1-Fuel2ShrbyTech!G28)/'Inputs 7&amp;8 Sleep'!$S40+Fuel2ShrbyTech!G28/'Inputs 7&amp;8 Sleep'!$Y40))</f>
        <v>1</v>
      </c>
      <c r="H27" s="1091">
        <f>IF('Mkt Pen Veh-Mi'!H27=0,1,1/((1-Fuel2ShrbyTech!H28)/'Inputs 7&amp;8 Day'!$N40+Fuel2ShrbyTech!H28/'Inputs 7&amp;8 Day'!$T40))</f>
        <v>6.8086034138932883</v>
      </c>
      <c r="I27" s="1092">
        <f>IF('Mkt Pen Veh-Mi'!I27=0,1,1/((1-Fuel2ShrbyTech!I28)/'Inputs 7&amp;8 Day'!$O40+Fuel2ShrbyTech!I28/'Inputs 7&amp;8 Day'!$U40))</f>
        <v>1</v>
      </c>
      <c r="J27" s="1092">
        <f>IF('Mkt Pen Veh-Mi'!J27=0,1,1/((1-Fuel2ShrbyTech!J28)/'Inputs 7&amp;8 Day'!$P40+Fuel2ShrbyTech!J28/'Inputs 7&amp;8 Day'!$V40))</f>
        <v>1</v>
      </c>
      <c r="K27" s="1092">
        <f>IF('Mkt Pen Veh-Mi'!K27=0,1,1/((1-Fuel2ShrbyTech!K28)/'Inputs 7&amp;8 Day'!$Q40+Fuel2ShrbyTech!K28/'Inputs 7&amp;8 Day'!$W40))</f>
        <v>1</v>
      </c>
      <c r="L27" s="1092">
        <f>IF('Mkt Pen Veh-Mi'!L27=0,1,1/((1-Fuel2ShrbyTech!L28)/'Inputs 7&amp;8 Day'!$R40+Fuel2ShrbyTech!L28/'Inputs 7&amp;8 Day'!$X40))</f>
        <v>1</v>
      </c>
      <c r="M27" s="1093">
        <f>IF('Mkt Pen Veh-Mi'!M27=0,1,1/((1-Fuel2ShrbyTech!M28)/'Inputs 7&amp;8 Day'!$S40+Fuel2ShrbyTech!M28/'Inputs 7&amp;8 Day'!$Y40))</f>
        <v>1</v>
      </c>
      <c r="N27" s="1091">
        <f>IF('Mkt Pen Veh-Mi'!N27=0,1,1/((1-Fuel2ShrbyTech!N28)/'Inputs 7&amp;8 SU'!$N40+Fuel2ShrbyTech!N28/'Inputs 7&amp;8 SU'!$T40))</f>
        <v>6.8393988538764896</v>
      </c>
      <c r="O27" s="1092">
        <f>IF('Mkt Pen Veh-Mi'!O27=0,1,1/((1-Fuel2ShrbyTech!O28)/'Inputs 7&amp;8 SU'!$O40+Fuel2ShrbyTech!O28/'Inputs 7&amp;8 SU'!$U40))</f>
        <v>1</v>
      </c>
      <c r="P27" s="1092">
        <f>IF('Mkt Pen Veh-Mi'!P27=0,1,1/((1-Fuel2ShrbyTech!P28)/'Inputs 7&amp;8 SU'!$P40+Fuel2ShrbyTech!P28/'Inputs 7&amp;8 SU'!$V40))</f>
        <v>1</v>
      </c>
      <c r="Q27" s="1092">
        <f>IF('Mkt Pen Veh-Mi'!Q27=0,1,1/((1-Fuel2ShrbyTech!Q28)/'Inputs 7&amp;8 SU'!$Q40+Fuel2ShrbyTech!Q28/'Inputs 7&amp;8 SU'!$W40))</f>
        <v>1</v>
      </c>
      <c r="R27" s="1092">
        <f>IF('Mkt Pen Veh-Mi'!R27=0,1,1/((1-Fuel2ShrbyTech!R28)/'Inputs 7&amp;8 SU'!$R40+Fuel2ShrbyTech!R28/'Inputs 7&amp;8 SU'!$X40))</f>
        <v>1</v>
      </c>
      <c r="S27" s="1093">
        <f>IF('Mkt Pen Veh-Mi'!S27=0,1,1/((1-Fuel2ShrbyTech!S28)/'Inputs 7&amp;8 SU'!$S40+Fuel2ShrbyTech!S28/'Inputs 7&amp;8 SU'!$Y40))</f>
        <v>1</v>
      </c>
      <c r="U27" s="1040">
        <f t="shared" si="13"/>
        <v>2025</v>
      </c>
      <c r="V27" s="1091">
        <f t="shared" si="14"/>
        <v>7.0826454244148485</v>
      </c>
      <c r="W27" s="1092">
        <f t="shared" si="15"/>
        <v>0</v>
      </c>
      <c r="X27" s="1092">
        <f t="shared" si="16"/>
        <v>0</v>
      </c>
      <c r="Y27" s="1092">
        <f t="shared" si="17"/>
        <v>0</v>
      </c>
      <c r="Z27" s="1092">
        <f t="shared" si="18"/>
        <v>0</v>
      </c>
      <c r="AA27" s="1093">
        <f t="shared" si="19"/>
        <v>0</v>
      </c>
      <c r="AB27" s="1091">
        <f t="shared" si="20"/>
        <v>6.8086034138932883</v>
      </c>
      <c r="AC27" s="1092">
        <f t="shared" si="21"/>
        <v>0</v>
      </c>
      <c r="AD27" s="1092">
        <f t="shared" si="22"/>
        <v>0</v>
      </c>
      <c r="AE27" s="1092">
        <f t="shared" si="23"/>
        <v>0</v>
      </c>
      <c r="AF27" s="1092">
        <f t="shared" si="24"/>
        <v>0</v>
      </c>
      <c r="AG27" s="1093">
        <f t="shared" si="25"/>
        <v>0</v>
      </c>
      <c r="AH27" s="1091">
        <f t="shared" si="26"/>
        <v>6.8393988538764896</v>
      </c>
      <c r="AI27" s="1092">
        <f t="shared" si="27"/>
        <v>0</v>
      </c>
      <c r="AJ27" s="1092">
        <f t="shared" si="28"/>
        <v>0</v>
      </c>
      <c r="AK27" s="1092">
        <f t="shared" si="29"/>
        <v>0</v>
      </c>
      <c r="AL27" s="1092">
        <f t="shared" si="30"/>
        <v>0</v>
      </c>
      <c r="AM27" s="1093">
        <f t="shared" si="31"/>
        <v>0</v>
      </c>
      <c r="AN27" s="1019">
        <v>2025</v>
      </c>
      <c r="AO27" s="1165">
        <f t="array" ref="AO27">1/SUMPRODUCT(IFERROR(1/V27:AA27,0),'Mkt Pen Veh-Mi'!B27:G27)</f>
        <v>7.0826454244148485</v>
      </c>
      <c r="AP27" s="1166">
        <f t="array" ref="AP27">1/SUMPRODUCT(IFERROR(1/AB27:AG27,0),'Mkt Pen Veh-Mi'!H27:M27)</f>
        <v>6.8086034138932883</v>
      </c>
      <c r="AQ27" s="1170">
        <f t="array" ref="AQ27">1/SUMPRODUCT(IFERROR(1/AH27:AM27,0),'Mkt Pen Veh-Mi'!N27:S27)</f>
        <v>6.8393988538764896</v>
      </c>
      <c r="AR27" s="1163">
        <v>2025</v>
      </c>
      <c r="AS27" s="1165">
        <f t="shared" si="32"/>
        <v>1</v>
      </c>
      <c r="AT27" s="1166">
        <f t="shared" si="33"/>
        <v>1</v>
      </c>
      <c r="AU27" s="1166">
        <f t="shared" si="34"/>
        <v>1</v>
      </c>
      <c r="AV27" s="1170">
        <v>1.0972655221641847</v>
      </c>
    </row>
    <row r="28" spans="1:48" s="1019" customFormat="1" ht="15" x14ac:dyDescent="0.25">
      <c r="A28" s="1034">
        <v>2026</v>
      </c>
      <c r="B28" s="1094">
        <f>IF('Mkt Pen Veh-Mi'!B28=0,1,1/((1-Fuel2ShrbyTech!B29)/'Inputs 7&amp;8 Sleep'!$N41+Fuel2ShrbyTech!B29/'Inputs 7&amp;8 Sleep'!$T41))</f>
        <v>7.294435606504738</v>
      </c>
      <c r="C28" s="1095">
        <f>IF('Mkt Pen Veh-Mi'!C28=0,1,1/((1-Fuel2ShrbyTech!C29)/'Inputs 7&amp;8 Sleep'!$O41+Fuel2ShrbyTech!C29/'Inputs 7&amp;8 Sleep'!$U41))</f>
        <v>7.4432249428858688</v>
      </c>
      <c r="D28" s="1095">
        <f>IF('Mkt Pen Veh-Mi'!D28=0,1,1/((1-Fuel2ShrbyTech!D29)/'Inputs 7&amp;8 Sleep'!$P41+Fuel2ShrbyTech!D29/'Inputs 7&amp;8 Sleep'!$V41))</f>
        <v>7.9970919994506522</v>
      </c>
      <c r="E28" s="1095">
        <f>IF('Mkt Pen Veh-Mi'!E28=0,1,1/((1-Fuel2ShrbyTech!E29)/'Inputs 7&amp;8 Sleep'!$Q41+Fuel2ShrbyTech!E29/'Inputs 7&amp;8 Sleep'!$W41))</f>
        <v>1</v>
      </c>
      <c r="F28" s="1095">
        <f>IF('Mkt Pen Veh-Mi'!F28=0,1,1/((1-Fuel2ShrbyTech!F29)/'Inputs 7&amp;8 Sleep'!$R41+Fuel2ShrbyTech!F29/'Inputs 7&amp;8 Sleep'!$X41))</f>
        <v>1</v>
      </c>
      <c r="G28" s="1096">
        <f>IF('Mkt Pen Veh-Mi'!G28=0,1,1/((1-Fuel2ShrbyTech!G29)/'Inputs 7&amp;8 Sleep'!$S41+Fuel2ShrbyTech!G29/'Inputs 7&amp;8 Sleep'!$Y41))</f>
        <v>1</v>
      </c>
      <c r="H28" s="1094">
        <f>IF('Mkt Pen Veh-Mi'!H28=0,1,1/((1-Fuel2ShrbyTech!H29)/'Inputs 7&amp;8 Day'!$N41+Fuel2ShrbyTech!H29/'Inputs 7&amp;8 Day'!$T41))</f>
        <v>6.9782165360518364</v>
      </c>
      <c r="I28" s="1095">
        <f>IF('Mkt Pen Veh-Mi'!I28=0,1,1/((1-Fuel2ShrbyTech!I29)/'Inputs 7&amp;8 Day'!$O41+Fuel2ShrbyTech!I29/'Inputs 7&amp;8 Day'!$U41))</f>
        <v>7.9546935694429397</v>
      </c>
      <c r="J28" s="1095">
        <f>IF('Mkt Pen Veh-Mi'!J28=0,1,1/((1-Fuel2ShrbyTech!J29)/'Inputs 7&amp;8 Day'!$P41+Fuel2ShrbyTech!J29/'Inputs 7&amp;8 Day'!$V41))</f>
        <v>8.4653139534090478</v>
      </c>
      <c r="K28" s="1095">
        <f>IF('Mkt Pen Veh-Mi'!K28=0,1,1/((1-Fuel2ShrbyTech!K29)/'Inputs 7&amp;8 Day'!$Q41+Fuel2ShrbyTech!K29/'Inputs 7&amp;8 Day'!$W41))</f>
        <v>1</v>
      </c>
      <c r="L28" s="1095">
        <f>IF('Mkt Pen Veh-Mi'!L28=0,1,1/((1-Fuel2ShrbyTech!L29)/'Inputs 7&amp;8 Day'!$R41+Fuel2ShrbyTech!L29/'Inputs 7&amp;8 Day'!$X41))</f>
        <v>1</v>
      </c>
      <c r="M28" s="1096">
        <f>IF('Mkt Pen Veh-Mi'!M28=0,1,1/((1-Fuel2ShrbyTech!M29)/'Inputs 7&amp;8 Day'!$S41+Fuel2ShrbyTech!M29/'Inputs 7&amp;8 Day'!$Y41))</f>
        <v>1</v>
      </c>
      <c r="N28" s="1094">
        <f>IF('Mkt Pen Veh-Mi'!N28=0,1,1/((1-Fuel2ShrbyTech!N29)/'Inputs 7&amp;8 SU'!$N41+Fuel2ShrbyTech!N29/'Inputs 7&amp;8 SU'!$T41))</f>
        <v>7.0297650802057969</v>
      </c>
      <c r="O28" s="1095">
        <f>IF('Mkt Pen Veh-Mi'!O28=0,1,1/((1-Fuel2ShrbyTech!O29)/'Inputs 7&amp;8 SU'!$O41+Fuel2ShrbyTech!O29/'Inputs 7&amp;8 SU'!$U41))</f>
        <v>7.0784604435174021</v>
      </c>
      <c r="P28" s="1095">
        <f>IF('Mkt Pen Veh-Mi'!P28=0,1,1/((1-Fuel2ShrbyTech!P29)/'Inputs 7&amp;8 SU'!$P41+Fuel2ShrbyTech!P29/'Inputs 7&amp;8 SU'!$V41))</f>
        <v>9.0438172317061873</v>
      </c>
      <c r="Q28" s="1095">
        <f>IF('Mkt Pen Veh-Mi'!Q28=0,1,1/((1-Fuel2ShrbyTech!Q29)/'Inputs 7&amp;8 SU'!$Q41+Fuel2ShrbyTech!Q29/'Inputs 7&amp;8 SU'!$W41))</f>
        <v>1</v>
      </c>
      <c r="R28" s="1095">
        <f>IF('Mkt Pen Veh-Mi'!R28=0,1,1/((1-Fuel2ShrbyTech!R29)/'Inputs 7&amp;8 SU'!$R41+Fuel2ShrbyTech!R29/'Inputs 7&amp;8 SU'!$X41))</f>
        <v>1</v>
      </c>
      <c r="S28" s="1096">
        <f>IF('Mkt Pen Veh-Mi'!S28=0,1,1/((1-Fuel2ShrbyTech!S29)/'Inputs 7&amp;8 SU'!$S41+Fuel2ShrbyTech!S29/'Inputs 7&amp;8 SU'!$Y41))</f>
        <v>12.171318978985338</v>
      </c>
      <c r="U28" s="1034">
        <f t="shared" si="13"/>
        <v>2026</v>
      </c>
      <c r="V28" s="1094">
        <f t="shared" si="14"/>
        <v>7.294435606504738</v>
      </c>
      <c r="W28" s="1095">
        <f t="shared" si="15"/>
        <v>7.4432249428858688</v>
      </c>
      <c r="X28" s="1095">
        <f t="shared" si="16"/>
        <v>7.9970919994506522</v>
      </c>
      <c r="Y28" s="1095">
        <f t="shared" si="17"/>
        <v>0</v>
      </c>
      <c r="Z28" s="1095">
        <f t="shared" si="18"/>
        <v>0</v>
      </c>
      <c r="AA28" s="1096">
        <f t="shared" si="19"/>
        <v>0</v>
      </c>
      <c r="AB28" s="1094">
        <f t="shared" si="20"/>
        <v>6.9782165360518364</v>
      </c>
      <c r="AC28" s="1095">
        <f t="shared" si="21"/>
        <v>7.9546935694429397</v>
      </c>
      <c r="AD28" s="1095">
        <f t="shared" si="22"/>
        <v>8.4653139534090478</v>
      </c>
      <c r="AE28" s="1095">
        <f t="shared" si="23"/>
        <v>0</v>
      </c>
      <c r="AF28" s="1095">
        <f t="shared" si="24"/>
        <v>0</v>
      </c>
      <c r="AG28" s="1096">
        <f t="shared" si="25"/>
        <v>0</v>
      </c>
      <c r="AH28" s="1094">
        <f t="shared" si="26"/>
        <v>7.0297650802057969</v>
      </c>
      <c r="AI28" s="1095">
        <f t="shared" si="27"/>
        <v>7.0784604435174021</v>
      </c>
      <c r="AJ28" s="1095">
        <f t="shared" si="28"/>
        <v>9.0438172317061873</v>
      </c>
      <c r="AK28" s="1095">
        <f t="shared" si="29"/>
        <v>0</v>
      </c>
      <c r="AL28" s="1095">
        <f t="shared" si="30"/>
        <v>0</v>
      </c>
      <c r="AM28" s="1096">
        <f t="shared" si="31"/>
        <v>12.171318978985338</v>
      </c>
      <c r="AN28" s="1019">
        <v>2026</v>
      </c>
      <c r="AO28" s="1165">
        <f t="array" ref="AO28">1/SUMPRODUCT(IFERROR(1/V28:AA28,0),'Mkt Pen Veh-Mi'!B28:G28)</f>
        <v>7.3052296816099167</v>
      </c>
      <c r="AP28" s="1166">
        <f t="array" ref="AP28">1/SUMPRODUCT(IFERROR(1/AB28:AG28,0),'Mkt Pen Veh-Mi'!H28:M28)</f>
        <v>7.0033843116514554</v>
      </c>
      <c r="AQ28" s="1170">
        <f t="array" ref="AQ28">1/SUMPRODUCT(IFERROR(1/AH28:AM28,0),'Mkt Pen Veh-Mi'!N28:S28)</f>
        <v>7.0558169247141551</v>
      </c>
      <c r="AR28" s="1163">
        <v>2026</v>
      </c>
      <c r="AS28" s="1165">
        <f t="shared" si="32"/>
        <v>1.0014797683724226</v>
      </c>
      <c r="AT28" s="1166">
        <f t="shared" si="33"/>
        <v>1.0036066200396037</v>
      </c>
      <c r="AU28" s="1166">
        <f t="shared" si="34"/>
        <v>1.0037059338699261</v>
      </c>
      <c r="AV28" s="1170">
        <v>1.1088315108256861</v>
      </c>
    </row>
    <row r="29" spans="1:48" s="1019" customFormat="1" ht="15" x14ac:dyDescent="0.25">
      <c r="A29" s="1034">
        <v>2027</v>
      </c>
      <c r="B29" s="1088">
        <f>IF('Mkt Pen Veh-Mi'!B29=0,1,1/((1-Fuel2ShrbyTech!B30)/'Inputs 7&amp;8 Sleep'!$N42+Fuel2ShrbyTech!B30/'Inputs 7&amp;8 Sleep'!$T42))</f>
        <v>7.5037759176853553</v>
      </c>
      <c r="C29" s="1089">
        <f>IF('Mkt Pen Veh-Mi'!C29=0,1,1/((1-Fuel2ShrbyTech!C30)/'Inputs 7&amp;8 Sleep'!$O42+Fuel2ShrbyTech!C30/'Inputs 7&amp;8 Sleep'!$U42))</f>
        <v>7.6424190646717065</v>
      </c>
      <c r="D29" s="1089">
        <f>IF('Mkt Pen Veh-Mi'!D29=0,1,1/((1-Fuel2ShrbyTech!D30)/'Inputs 7&amp;8 Sleep'!$P42+Fuel2ShrbyTech!D30/'Inputs 7&amp;8 Sleep'!$V42))</f>
        <v>8.2237544880901581</v>
      </c>
      <c r="E29" s="1089">
        <f>IF('Mkt Pen Veh-Mi'!E29=0,1,1/((1-Fuel2ShrbyTech!E30)/'Inputs 7&amp;8 Sleep'!$Q42+Fuel2ShrbyTech!E30/'Inputs 7&amp;8 Sleep'!$W42))</f>
        <v>1</v>
      </c>
      <c r="F29" s="1089">
        <f>IF('Mkt Pen Veh-Mi'!F29=0,1,1/((1-Fuel2ShrbyTech!F30)/'Inputs 7&amp;8 Sleep'!$R42+Fuel2ShrbyTech!F30/'Inputs 7&amp;8 Sleep'!$X42))</f>
        <v>1</v>
      </c>
      <c r="G29" s="1090">
        <f>IF('Mkt Pen Veh-Mi'!G29=0,1,1/((1-Fuel2ShrbyTech!G30)/'Inputs 7&amp;8 Sleep'!$S42+Fuel2ShrbyTech!G30/'Inputs 7&amp;8 Sleep'!$Y42))</f>
        <v>1</v>
      </c>
      <c r="H29" s="1088">
        <f>IF('Mkt Pen Veh-Mi'!H29=0,1,1/((1-Fuel2ShrbyTech!H30)/'Inputs 7&amp;8 Day'!$N42+Fuel2ShrbyTech!H30/'Inputs 7&amp;8 Day'!$T42))</f>
        <v>7.1454647701784486</v>
      </c>
      <c r="I29" s="1089">
        <f>IF('Mkt Pen Veh-Mi'!I29=0,1,1/((1-Fuel2ShrbyTech!I30)/'Inputs 7&amp;8 Day'!$O42+Fuel2ShrbyTech!I30/'Inputs 7&amp;8 Day'!$U42))</f>
        <v>8.1350608889763372</v>
      </c>
      <c r="J29" s="1089">
        <f>IF('Mkt Pen Veh-Mi'!J29=0,1,1/((1-Fuel2ShrbyTech!J30)/'Inputs 7&amp;8 Day'!$P42+Fuel2ShrbyTech!J30/'Inputs 7&amp;8 Day'!$V42))</f>
        <v>8.6624854386193988</v>
      </c>
      <c r="K29" s="1089">
        <f>IF('Mkt Pen Veh-Mi'!K29=0,1,1/((1-Fuel2ShrbyTech!K30)/'Inputs 7&amp;8 Day'!$Q42+Fuel2ShrbyTech!K30/'Inputs 7&amp;8 Day'!$W42))</f>
        <v>1</v>
      </c>
      <c r="L29" s="1089">
        <f>IF('Mkt Pen Veh-Mi'!L29=0,1,1/((1-Fuel2ShrbyTech!L30)/'Inputs 7&amp;8 Day'!$R42+Fuel2ShrbyTech!L30/'Inputs 7&amp;8 Day'!$X42))</f>
        <v>1</v>
      </c>
      <c r="M29" s="1090">
        <f>IF('Mkt Pen Veh-Mi'!M29=0,1,1/((1-Fuel2ShrbyTech!M30)/'Inputs 7&amp;8 Day'!$S42+Fuel2ShrbyTech!M30/'Inputs 7&amp;8 Day'!$Y42))</f>
        <v>1</v>
      </c>
      <c r="N29" s="1088">
        <f>IF('Mkt Pen Veh-Mi'!N29=0,1,1/((1-Fuel2ShrbyTech!N30)/'Inputs 7&amp;8 SU'!$N42+Fuel2ShrbyTech!N30/'Inputs 7&amp;8 SU'!$T42))</f>
        <v>7.2347440826554212</v>
      </c>
      <c r="O29" s="1089">
        <f>IF('Mkt Pen Veh-Mi'!O29=0,1,1/((1-Fuel2ShrbyTech!O30)/'Inputs 7&amp;8 SU'!$O42+Fuel2ShrbyTech!O30/'Inputs 7&amp;8 SU'!$U42))</f>
        <v>7.2517080556616538</v>
      </c>
      <c r="P29" s="1089">
        <f>IF('Mkt Pen Veh-Mi'!P29=0,1,1/((1-Fuel2ShrbyTech!P30)/'Inputs 7&amp;8 SU'!$P42+Fuel2ShrbyTech!P30/'Inputs 7&amp;8 SU'!$V42))</f>
        <v>9.2994001411669647</v>
      </c>
      <c r="Q29" s="1089">
        <f>IF('Mkt Pen Veh-Mi'!Q29=0,1,1/((1-Fuel2ShrbyTech!Q30)/'Inputs 7&amp;8 SU'!$Q42+Fuel2ShrbyTech!Q30/'Inputs 7&amp;8 SU'!$W42))</f>
        <v>1</v>
      </c>
      <c r="R29" s="1089">
        <f>IF('Mkt Pen Veh-Mi'!R29=0,1,1/((1-Fuel2ShrbyTech!R30)/'Inputs 7&amp;8 SU'!$R42+Fuel2ShrbyTech!R30/'Inputs 7&amp;8 SU'!$X42))</f>
        <v>1</v>
      </c>
      <c r="S29" s="1090">
        <f>IF('Mkt Pen Veh-Mi'!S29=0,1,1/((1-Fuel2ShrbyTech!S30)/'Inputs 7&amp;8 SU'!$S42+Fuel2ShrbyTech!S30/'Inputs 7&amp;8 SU'!$Y42))</f>
        <v>12.628794544468491</v>
      </c>
      <c r="U29" s="1034">
        <f t="shared" si="13"/>
        <v>2027</v>
      </c>
      <c r="V29" s="1088">
        <f t="shared" si="14"/>
        <v>7.5037759176853553</v>
      </c>
      <c r="W29" s="1089">
        <f t="shared" si="15"/>
        <v>7.6424190646717065</v>
      </c>
      <c r="X29" s="1089">
        <f t="shared" si="16"/>
        <v>8.2237544880901581</v>
      </c>
      <c r="Y29" s="1089">
        <f t="shared" si="17"/>
        <v>0</v>
      </c>
      <c r="Z29" s="1089">
        <f t="shared" si="18"/>
        <v>0</v>
      </c>
      <c r="AA29" s="1090">
        <f t="shared" si="19"/>
        <v>0</v>
      </c>
      <c r="AB29" s="1088">
        <f t="shared" si="20"/>
        <v>7.1454647701784486</v>
      </c>
      <c r="AC29" s="1089">
        <f t="shared" si="21"/>
        <v>8.1350608889763372</v>
      </c>
      <c r="AD29" s="1089">
        <f t="shared" si="22"/>
        <v>8.6624854386193988</v>
      </c>
      <c r="AE29" s="1089">
        <f t="shared" si="23"/>
        <v>0</v>
      </c>
      <c r="AF29" s="1089">
        <f t="shared" si="24"/>
        <v>0</v>
      </c>
      <c r="AG29" s="1090">
        <f t="shared" si="25"/>
        <v>0</v>
      </c>
      <c r="AH29" s="1088">
        <f t="shared" si="26"/>
        <v>7.2347440826554212</v>
      </c>
      <c r="AI29" s="1089">
        <f t="shared" si="27"/>
        <v>7.2517080556616538</v>
      </c>
      <c r="AJ29" s="1089">
        <f t="shared" si="28"/>
        <v>9.2994001411669647</v>
      </c>
      <c r="AK29" s="1089">
        <f t="shared" si="29"/>
        <v>0</v>
      </c>
      <c r="AL29" s="1089">
        <f t="shared" si="30"/>
        <v>0</v>
      </c>
      <c r="AM29" s="1090">
        <f t="shared" si="31"/>
        <v>12.628794544468491</v>
      </c>
      <c r="AN29" s="1019">
        <v>2027</v>
      </c>
      <c r="AO29" s="1165">
        <f t="array" ref="AO29">1/SUMPRODUCT(IFERROR(1/V29:AA29,0),'Mkt Pen Veh-Mi'!B29:G29)</f>
        <v>7.5255065283017917</v>
      </c>
      <c r="AP29" s="1166">
        <f t="array" ref="AP29">1/SUMPRODUCT(IFERROR(1/AB29:AG29,0),'Mkt Pen Veh-Mi'!H29:M29)</f>
        <v>7.1932834639459706</v>
      </c>
      <c r="AQ29" s="1170">
        <f t="array" ref="AQ29">1/SUMPRODUCT(IFERROR(1/AH29:AM29,0),'Mkt Pen Veh-Mi'!N29:S29)</f>
        <v>7.3371261802027608</v>
      </c>
      <c r="AR29" s="1163">
        <v>2027</v>
      </c>
      <c r="AS29" s="1165">
        <f t="shared" si="32"/>
        <v>1.0028959567629439</v>
      </c>
      <c r="AT29" s="1166">
        <f t="shared" si="33"/>
        <v>1.0066921740300356</v>
      </c>
      <c r="AU29" s="1166">
        <f t="shared" si="34"/>
        <v>1.0141514470142476</v>
      </c>
      <c r="AV29" s="1170">
        <v>1.1157356459109145</v>
      </c>
    </row>
    <row r="30" spans="1:48" s="1019" customFormat="1" ht="15" x14ac:dyDescent="0.25">
      <c r="A30" s="1034">
        <v>2028</v>
      </c>
      <c r="B30" s="1088">
        <f>IF('Mkt Pen Veh-Mi'!B30=0,1,1/((1-Fuel2ShrbyTech!B31)/'Inputs 7&amp;8 Sleep'!$N43+Fuel2ShrbyTech!B31/'Inputs 7&amp;8 Sleep'!$T43))</f>
        <v>7.6179189540571537</v>
      </c>
      <c r="C30" s="1089">
        <f>IF('Mkt Pen Veh-Mi'!C30=0,1,1/((1-Fuel2ShrbyTech!C31)/'Inputs 7&amp;8 Sleep'!$O43+Fuel2ShrbyTech!C31/'Inputs 7&amp;8 Sleep'!$U43))</f>
        <v>7.931751799647067</v>
      </c>
      <c r="D30" s="1089">
        <f>IF('Mkt Pen Veh-Mi'!D30=0,1,1/((1-Fuel2ShrbyTech!D31)/'Inputs 7&amp;8 Sleep'!$P43+Fuel2ShrbyTech!D31/'Inputs 7&amp;8 Sleep'!$V43))</f>
        <v>8.5471456027682873</v>
      </c>
      <c r="E30" s="1089">
        <f>IF('Mkt Pen Veh-Mi'!E30=0,1,1/((1-Fuel2ShrbyTech!E31)/'Inputs 7&amp;8 Sleep'!$Q43+Fuel2ShrbyTech!E31/'Inputs 7&amp;8 Sleep'!$W43))</f>
        <v>1</v>
      </c>
      <c r="F30" s="1089">
        <f>IF('Mkt Pen Veh-Mi'!F30=0,1,1/((1-Fuel2ShrbyTech!F31)/'Inputs 7&amp;8 Sleep'!$R43+Fuel2ShrbyTech!F31/'Inputs 7&amp;8 Sleep'!$X43))</f>
        <v>1</v>
      </c>
      <c r="G30" s="1090">
        <f>IF('Mkt Pen Veh-Mi'!G30=0,1,1/((1-Fuel2ShrbyTech!G31)/'Inputs 7&amp;8 Sleep'!$S43+Fuel2ShrbyTech!G31/'Inputs 7&amp;8 Sleep'!$Y43))</f>
        <v>1</v>
      </c>
      <c r="H30" s="1088">
        <f>IF('Mkt Pen Veh-Mi'!H30=0,1,1/((1-Fuel2ShrbyTech!H31)/'Inputs 7&amp;8 Day'!$N43+Fuel2ShrbyTech!H31/'Inputs 7&amp;8 Day'!$T43))</f>
        <v>7.2213425095119215</v>
      </c>
      <c r="I30" s="1089">
        <f>IF('Mkt Pen Veh-Mi'!I30=0,1,1/((1-Fuel2ShrbyTech!I31)/'Inputs 7&amp;8 Day'!$O43+Fuel2ShrbyTech!I31/'Inputs 7&amp;8 Day'!$U43))</f>
        <v>8.4707551961052641</v>
      </c>
      <c r="J30" s="1089">
        <f>IF('Mkt Pen Veh-Mi'!J30=0,1,1/((1-Fuel2ShrbyTech!J31)/'Inputs 7&amp;8 Day'!$P43+Fuel2ShrbyTech!J31/'Inputs 7&amp;8 Day'!$V43))</f>
        <v>9.0407541203879589</v>
      </c>
      <c r="K30" s="1089">
        <f>IF('Mkt Pen Veh-Mi'!K30=0,1,1/((1-Fuel2ShrbyTech!K31)/'Inputs 7&amp;8 Day'!$Q43+Fuel2ShrbyTech!K31/'Inputs 7&amp;8 Day'!$W43))</f>
        <v>1</v>
      </c>
      <c r="L30" s="1089">
        <f>IF('Mkt Pen Veh-Mi'!L30=0,1,1/((1-Fuel2ShrbyTech!L31)/'Inputs 7&amp;8 Day'!$R43+Fuel2ShrbyTech!L31/'Inputs 7&amp;8 Day'!$X43))</f>
        <v>1</v>
      </c>
      <c r="M30" s="1090">
        <f>IF('Mkt Pen Veh-Mi'!M30=0,1,1/((1-Fuel2ShrbyTech!M31)/'Inputs 7&amp;8 Day'!$S43+Fuel2ShrbyTech!M31/'Inputs 7&amp;8 Day'!$Y43))</f>
        <v>1</v>
      </c>
      <c r="N30" s="1088">
        <f>IF('Mkt Pen Veh-Mi'!N30=0,1,1/((1-Fuel2ShrbyTech!N31)/'Inputs 7&amp;8 SU'!$N43+Fuel2ShrbyTech!N31/'Inputs 7&amp;8 SU'!$T43))</f>
        <v>7.3264307414802232</v>
      </c>
      <c r="O30" s="1089">
        <f>IF('Mkt Pen Veh-Mi'!O30=0,1,1/((1-Fuel2ShrbyTech!O31)/'Inputs 7&amp;8 SU'!$O43+Fuel2ShrbyTech!O31/'Inputs 7&amp;8 SU'!$U43))</f>
        <v>7.4555170290202799</v>
      </c>
      <c r="P30" s="1089">
        <f>IF('Mkt Pen Veh-Mi'!P30=0,1,1/((1-Fuel2ShrbyTech!P31)/'Inputs 7&amp;8 SU'!$P43+Fuel2ShrbyTech!P31/'Inputs 7&amp;8 SU'!$V43))</f>
        <v>9.5544731395984464</v>
      </c>
      <c r="Q30" s="1089">
        <f>IF('Mkt Pen Veh-Mi'!Q30=0,1,1/((1-Fuel2ShrbyTech!Q31)/'Inputs 7&amp;8 SU'!$Q43+Fuel2ShrbyTech!Q31/'Inputs 7&amp;8 SU'!$W43))</f>
        <v>1</v>
      </c>
      <c r="R30" s="1089">
        <f>IF('Mkt Pen Veh-Mi'!R30=0,1,1/((1-Fuel2ShrbyTech!R31)/'Inputs 7&amp;8 SU'!$R43+Fuel2ShrbyTech!R31/'Inputs 7&amp;8 SU'!$X43))</f>
        <v>1</v>
      </c>
      <c r="S30" s="1090">
        <f>IF('Mkt Pen Veh-Mi'!S30=0,1,1/((1-Fuel2ShrbyTech!S31)/'Inputs 7&amp;8 SU'!$S43+Fuel2ShrbyTech!S31/'Inputs 7&amp;8 SU'!$Y43))</f>
        <v>12.998028415026633</v>
      </c>
      <c r="U30" s="1034">
        <f t="shared" si="13"/>
        <v>2028</v>
      </c>
      <c r="V30" s="1088">
        <f t="shared" si="14"/>
        <v>7.6179189540571537</v>
      </c>
      <c r="W30" s="1089">
        <f t="shared" si="15"/>
        <v>7.931751799647067</v>
      </c>
      <c r="X30" s="1089">
        <f t="shared" si="16"/>
        <v>8.5471456027682873</v>
      </c>
      <c r="Y30" s="1089">
        <f t="shared" si="17"/>
        <v>0</v>
      </c>
      <c r="Z30" s="1089">
        <f t="shared" si="18"/>
        <v>0</v>
      </c>
      <c r="AA30" s="1090">
        <f t="shared" si="19"/>
        <v>0</v>
      </c>
      <c r="AB30" s="1088">
        <f t="shared" si="20"/>
        <v>7.2213425095119215</v>
      </c>
      <c r="AC30" s="1089">
        <f t="shared" si="21"/>
        <v>8.4707551961052641</v>
      </c>
      <c r="AD30" s="1089">
        <f t="shared" si="22"/>
        <v>9.0407541203879589</v>
      </c>
      <c r="AE30" s="1089">
        <f t="shared" si="23"/>
        <v>0</v>
      </c>
      <c r="AF30" s="1089">
        <f t="shared" si="24"/>
        <v>0</v>
      </c>
      <c r="AG30" s="1090">
        <f t="shared" si="25"/>
        <v>0</v>
      </c>
      <c r="AH30" s="1088">
        <f t="shared" si="26"/>
        <v>7.3264307414802232</v>
      </c>
      <c r="AI30" s="1089">
        <f t="shared" si="27"/>
        <v>7.4555170290202799</v>
      </c>
      <c r="AJ30" s="1089">
        <f t="shared" si="28"/>
        <v>9.5544731395984464</v>
      </c>
      <c r="AK30" s="1089">
        <f t="shared" si="29"/>
        <v>0</v>
      </c>
      <c r="AL30" s="1089">
        <f t="shared" si="30"/>
        <v>0</v>
      </c>
      <c r="AM30" s="1090">
        <f t="shared" si="31"/>
        <v>12.998028415026633</v>
      </c>
      <c r="AN30" s="1019">
        <v>2028</v>
      </c>
      <c r="AO30" s="1165">
        <f t="array" ref="AO30">1/SUMPRODUCT(IFERROR(1/V30:AA30,0),'Mkt Pen Veh-Mi'!B30:G30)</f>
        <v>7.737367881380691</v>
      </c>
      <c r="AP30" s="1166">
        <f t="array" ref="AP30">1/SUMPRODUCT(IFERROR(1/AB30:AG30,0),'Mkt Pen Veh-Mi'!H30:M30)</f>
        <v>7.3831539420702796</v>
      </c>
      <c r="AQ30" s="1170">
        <f t="array" ref="AQ30">1/SUMPRODUCT(IFERROR(1/AH30:AM30,0),'Mkt Pen Veh-Mi'!N30:S30)</f>
        <v>7.5254335924142879</v>
      </c>
      <c r="AR30" s="1163">
        <v>2028</v>
      </c>
      <c r="AS30" s="1165">
        <f t="shared" si="32"/>
        <v>1.0156799945029504</v>
      </c>
      <c r="AT30" s="1166">
        <f t="shared" si="33"/>
        <v>1.0224073892555603</v>
      </c>
      <c r="AU30" s="1166">
        <f t="shared" si="34"/>
        <v>1.0271623192733352</v>
      </c>
      <c r="AV30" s="1170">
        <v>1.128298781955815</v>
      </c>
    </row>
    <row r="31" spans="1:48" s="1019" customFormat="1" ht="15" x14ac:dyDescent="0.25">
      <c r="A31" s="1034">
        <v>2029</v>
      </c>
      <c r="B31" s="1088">
        <f>IF('Mkt Pen Veh-Mi'!B31=0,1,1/((1-Fuel2ShrbyTech!B32)/'Inputs 7&amp;8 Sleep'!$N44+Fuel2ShrbyTech!B32/'Inputs 7&amp;8 Sleep'!$T44))</f>
        <v>7.7555629328580205</v>
      </c>
      <c r="C31" s="1089">
        <f>IF('Mkt Pen Veh-Mi'!C31=0,1,1/((1-Fuel2ShrbyTech!C32)/'Inputs 7&amp;8 Sleep'!$O44+Fuel2ShrbyTech!C32/'Inputs 7&amp;8 Sleep'!$U44))</f>
        <v>8.1510399130245066</v>
      </c>
      <c r="D31" s="1089">
        <f>IF('Mkt Pen Veh-Mi'!D31=0,1,1/((1-Fuel2ShrbyTech!D32)/'Inputs 7&amp;8 Sleep'!$P44+Fuel2ShrbyTech!D32/'Inputs 7&amp;8 Sleep'!$V44))</f>
        <v>8.7922468956684234</v>
      </c>
      <c r="E31" s="1089">
        <f>IF('Mkt Pen Veh-Mi'!E31=0,1,1/((1-Fuel2ShrbyTech!E32)/'Inputs 7&amp;8 Sleep'!$Q44+Fuel2ShrbyTech!E32/'Inputs 7&amp;8 Sleep'!$W44))</f>
        <v>1</v>
      </c>
      <c r="F31" s="1089">
        <f>IF('Mkt Pen Veh-Mi'!F31=0,1,1/((1-Fuel2ShrbyTech!F32)/'Inputs 7&amp;8 Sleep'!$R44+Fuel2ShrbyTech!F32/'Inputs 7&amp;8 Sleep'!$X44))</f>
        <v>1</v>
      </c>
      <c r="G31" s="1090">
        <f>IF('Mkt Pen Veh-Mi'!G31=0,1,1/((1-Fuel2ShrbyTech!G32)/'Inputs 7&amp;8 Sleep'!$S44+Fuel2ShrbyTech!G32/'Inputs 7&amp;8 Sleep'!$Y44))</f>
        <v>1</v>
      </c>
      <c r="H31" s="1088">
        <f>IF('Mkt Pen Veh-Mi'!H31=0,1,1/((1-Fuel2ShrbyTech!H32)/'Inputs 7&amp;8 Day'!$N44+Fuel2ShrbyTech!H32/'Inputs 7&amp;8 Day'!$T44))</f>
        <v>7.2751615022591807</v>
      </c>
      <c r="I31" s="1089">
        <f>IF('Mkt Pen Veh-Mi'!I31=0,1,1/((1-Fuel2ShrbyTech!I32)/'Inputs 7&amp;8 Day'!$O44+Fuel2ShrbyTech!I32/'Inputs 7&amp;8 Day'!$U44))</f>
        <v>8.7231319211479725</v>
      </c>
      <c r="J31" s="1089">
        <f>IF('Mkt Pen Veh-Mi'!J31=0,1,1/((1-Fuel2ShrbyTech!J32)/'Inputs 7&amp;8 Day'!$P44+Fuel2ShrbyTech!J32/'Inputs 7&amp;8 Day'!$V44))</f>
        <v>9.3251384815868708</v>
      </c>
      <c r="K31" s="1089">
        <f>IF('Mkt Pen Veh-Mi'!K31=0,1,1/((1-Fuel2ShrbyTech!K32)/'Inputs 7&amp;8 Day'!$Q44+Fuel2ShrbyTech!K32/'Inputs 7&amp;8 Day'!$W44))</f>
        <v>1</v>
      </c>
      <c r="L31" s="1089">
        <f>IF('Mkt Pen Veh-Mi'!L31=0,1,1/((1-Fuel2ShrbyTech!L32)/'Inputs 7&amp;8 Day'!$R44+Fuel2ShrbyTech!L32/'Inputs 7&amp;8 Day'!$X44))</f>
        <v>1</v>
      </c>
      <c r="M31" s="1090">
        <f>IF('Mkt Pen Veh-Mi'!M31=0,1,1/((1-Fuel2ShrbyTech!M32)/'Inputs 7&amp;8 Day'!$S44+Fuel2ShrbyTech!M32/'Inputs 7&amp;8 Day'!$Y44))</f>
        <v>1</v>
      </c>
      <c r="N31" s="1088">
        <f>IF('Mkt Pen Veh-Mi'!N31=0,1,1/((1-Fuel2ShrbyTech!N32)/'Inputs 7&amp;8 SU'!$N44+Fuel2ShrbyTech!N32/'Inputs 7&amp;8 SU'!$T44))</f>
        <v>7.5042230311669362</v>
      </c>
      <c r="O31" s="1089">
        <f>IF('Mkt Pen Veh-Mi'!O31=0,1,1/((1-Fuel2ShrbyTech!O32)/'Inputs 7&amp;8 SU'!$O44+Fuel2ShrbyTech!O32/'Inputs 7&amp;8 SU'!$U44))</f>
        <v>7.5729213529566914</v>
      </c>
      <c r="P31" s="1089">
        <f>IF('Mkt Pen Veh-Mi'!P31=0,1,1/((1-Fuel2ShrbyTech!P32)/'Inputs 7&amp;8 SU'!$P44+Fuel2ShrbyTech!P32/'Inputs 7&amp;8 SU'!$V44))</f>
        <v>9.7014081466385278</v>
      </c>
      <c r="Q31" s="1089">
        <f>IF('Mkt Pen Veh-Mi'!Q31=0,1,1/((1-Fuel2ShrbyTech!Q32)/'Inputs 7&amp;8 SU'!$Q44+Fuel2ShrbyTech!Q32/'Inputs 7&amp;8 SU'!$W44))</f>
        <v>1</v>
      </c>
      <c r="R31" s="1089">
        <f>IF('Mkt Pen Veh-Mi'!R31=0,1,1/((1-Fuel2ShrbyTech!R32)/'Inputs 7&amp;8 SU'!$R44+Fuel2ShrbyTech!R32/'Inputs 7&amp;8 SU'!$X44))</f>
        <v>1</v>
      </c>
      <c r="S31" s="1090">
        <f>IF('Mkt Pen Veh-Mi'!S31=0,1,1/((1-Fuel2ShrbyTech!S32)/'Inputs 7&amp;8 SU'!$S44+Fuel2ShrbyTech!S32/'Inputs 7&amp;8 SU'!$Y44))</f>
        <v>13.201126446356483</v>
      </c>
      <c r="U31" s="1034">
        <f t="shared" si="13"/>
        <v>2029</v>
      </c>
      <c r="V31" s="1088">
        <f t="shared" si="14"/>
        <v>7.7555629328580205</v>
      </c>
      <c r="W31" s="1089">
        <f t="shared" si="15"/>
        <v>8.1510399130245066</v>
      </c>
      <c r="X31" s="1089">
        <f t="shared" si="16"/>
        <v>8.7922468956684234</v>
      </c>
      <c r="Y31" s="1089">
        <f t="shared" si="17"/>
        <v>0</v>
      </c>
      <c r="Z31" s="1089">
        <f t="shared" si="18"/>
        <v>0</v>
      </c>
      <c r="AA31" s="1090">
        <f t="shared" si="19"/>
        <v>0</v>
      </c>
      <c r="AB31" s="1088">
        <f t="shared" si="20"/>
        <v>7.2751615022591807</v>
      </c>
      <c r="AC31" s="1089">
        <f t="shared" si="21"/>
        <v>8.7231319211479725</v>
      </c>
      <c r="AD31" s="1089">
        <f t="shared" si="22"/>
        <v>9.3251384815868708</v>
      </c>
      <c r="AE31" s="1089">
        <f t="shared" si="23"/>
        <v>0</v>
      </c>
      <c r="AF31" s="1089">
        <f t="shared" si="24"/>
        <v>0</v>
      </c>
      <c r="AG31" s="1090">
        <f t="shared" si="25"/>
        <v>0</v>
      </c>
      <c r="AH31" s="1088">
        <f t="shared" si="26"/>
        <v>7.5042230311669362</v>
      </c>
      <c r="AI31" s="1089">
        <f t="shared" si="27"/>
        <v>7.5729213529566914</v>
      </c>
      <c r="AJ31" s="1089">
        <f t="shared" si="28"/>
        <v>9.7014081466385278</v>
      </c>
      <c r="AK31" s="1089">
        <f t="shared" si="29"/>
        <v>0</v>
      </c>
      <c r="AL31" s="1089">
        <f t="shared" si="30"/>
        <v>0</v>
      </c>
      <c r="AM31" s="1090">
        <f t="shared" si="31"/>
        <v>13.201126446356483</v>
      </c>
      <c r="AN31" s="1019">
        <v>2029</v>
      </c>
      <c r="AO31" s="1165">
        <f t="array" ref="AO31">1/SUMPRODUCT(IFERROR(1/V31:AA31,0),'Mkt Pen Veh-Mi'!B31:G31)</f>
        <v>8.0308179011612797</v>
      </c>
      <c r="AP31" s="1166">
        <f t="array" ref="AP31">1/SUMPRODUCT(IFERROR(1/AB31:AG31,0),'Mkt Pen Veh-Mi'!H31:M31)</f>
        <v>7.6591858459975999</v>
      </c>
      <c r="AQ31" s="1170">
        <f t="array" ref="AQ31">1/SUMPRODUCT(IFERROR(1/AH31:AM31,0),'Mkt Pen Veh-Mi'!N31:S31)</f>
        <v>7.9737833921320602</v>
      </c>
      <c r="AR31" s="1163">
        <v>2029</v>
      </c>
      <c r="AS31" s="1165">
        <f t="shared" si="32"/>
        <v>1.035491294530934</v>
      </c>
      <c r="AT31" s="1166">
        <f t="shared" si="33"/>
        <v>1.0527856795507793</v>
      </c>
      <c r="AU31" s="1166">
        <f t="shared" si="34"/>
        <v>1.0625728152021763</v>
      </c>
      <c r="AV31" s="1170">
        <v>1.1453205018890817</v>
      </c>
    </row>
    <row r="32" spans="1:48" s="1019" customFormat="1" ht="15" x14ac:dyDescent="0.25">
      <c r="A32" s="1040">
        <v>2030</v>
      </c>
      <c r="B32" s="1091">
        <f>IF('Mkt Pen Veh-Mi'!B32=0,1,1/((1-Fuel2ShrbyTech!B33)/'Inputs 7&amp;8 Sleep'!$N45+Fuel2ShrbyTech!B33/'Inputs 7&amp;8 Sleep'!$T45))</f>
        <v>7.8652683559393761</v>
      </c>
      <c r="C32" s="1092">
        <f>IF('Mkt Pen Veh-Mi'!C32=0,1,1/((1-Fuel2ShrbyTech!C33)/'Inputs 7&amp;8 Sleep'!$O45+Fuel2ShrbyTech!C33/'Inputs 7&amp;8 Sleep'!$U45))</f>
        <v>8.4008598803544565</v>
      </c>
      <c r="D32" s="1092">
        <f>IF('Mkt Pen Veh-Mi'!D32=0,1,1/((1-Fuel2ShrbyTech!D33)/'Inputs 7&amp;8 Sleep'!$P45+Fuel2ShrbyTech!D33/'Inputs 7&amp;8 Sleep'!$V45))</f>
        <v>9.0714740550514286</v>
      </c>
      <c r="E32" s="1092">
        <f>IF('Mkt Pen Veh-Mi'!E32=0,1,1/((1-Fuel2ShrbyTech!E33)/'Inputs 7&amp;8 Sleep'!$Q45+Fuel2ShrbyTech!E33/'Inputs 7&amp;8 Sleep'!$W45))</f>
        <v>1</v>
      </c>
      <c r="F32" s="1092">
        <f>IF('Mkt Pen Veh-Mi'!F32=0,1,1/((1-Fuel2ShrbyTech!F33)/'Inputs 7&amp;8 Sleep'!$R45+Fuel2ShrbyTech!F33/'Inputs 7&amp;8 Sleep'!$X45))</f>
        <v>1</v>
      </c>
      <c r="G32" s="1093">
        <f>IF('Mkt Pen Veh-Mi'!G32=0,1,1/((1-Fuel2ShrbyTech!G33)/'Inputs 7&amp;8 Sleep'!$S45+Fuel2ShrbyTech!G33/'Inputs 7&amp;8 Sleep'!$Y45))</f>
        <v>1</v>
      </c>
      <c r="H32" s="1091">
        <f>IF('Mkt Pen Veh-Mi'!H32=0,1,1/((1-Fuel2ShrbyTech!H33)/'Inputs 7&amp;8 Day'!$N45+Fuel2ShrbyTech!H33/'Inputs 7&amp;8 Day'!$T45))</f>
        <v>7.3069231945163011</v>
      </c>
      <c r="I32" s="1092">
        <f>IF('Mkt Pen Veh-Mi'!I32=0,1,1/((1-Fuel2ShrbyTech!I33)/'Inputs 7&amp;8 Day'!$O45+Fuel2ShrbyTech!I33/'Inputs 7&amp;8 Day'!$U45))</f>
        <v>9.0375134565067832</v>
      </c>
      <c r="J32" s="1092">
        <f>IF('Mkt Pen Veh-Mi'!J32=0,1,1/((1-Fuel2ShrbyTech!J33)/'Inputs 7&amp;8 Day'!$P45+Fuel2ShrbyTech!J33/'Inputs 7&amp;8 Day'!$V45))</f>
        <v>9.6793914028521701</v>
      </c>
      <c r="K32" s="1092">
        <f>IF('Mkt Pen Veh-Mi'!K32=0,1,1/((1-Fuel2ShrbyTech!K33)/'Inputs 7&amp;8 Day'!$Q45+Fuel2ShrbyTech!K33/'Inputs 7&amp;8 Day'!$W45))</f>
        <v>1</v>
      </c>
      <c r="L32" s="1092">
        <f>IF('Mkt Pen Veh-Mi'!L32=0,1,1/((1-Fuel2ShrbyTech!L33)/'Inputs 7&amp;8 Day'!$R45+Fuel2ShrbyTech!L33/'Inputs 7&amp;8 Day'!$X45))</f>
        <v>1</v>
      </c>
      <c r="M32" s="1093">
        <f>IF('Mkt Pen Veh-Mi'!M32=0,1,1/((1-Fuel2ShrbyTech!M33)/'Inputs 7&amp;8 Day'!$S45+Fuel2ShrbyTech!M33/'Inputs 7&amp;8 Day'!$Y45))</f>
        <v>1</v>
      </c>
      <c r="N32" s="1091">
        <f>IF('Mkt Pen Veh-Mi'!N32=0,1,1/((1-Fuel2ShrbyTech!N33)/'Inputs 7&amp;8 SU'!$N45+Fuel2ShrbyTech!N33/'Inputs 7&amp;8 SU'!$T45))</f>
        <v>7.6650043308267701</v>
      </c>
      <c r="O32" s="1092">
        <f>IF('Mkt Pen Veh-Mi'!O32=0,1,1/((1-Fuel2ShrbyTech!O33)/'Inputs 7&amp;8 SU'!$O45+Fuel2ShrbyTech!O33/'Inputs 7&amp;8 SU'!$U45))</f>
        <v>7.7240004601149224</v>
      </c>
      <c r="P32" s="1092">
        <f>IF('Mkt Pen Veh-Mi'!P32=0,1,1/((1-Fuel2ShrbyTech!P33)/'Inputs 7&amp;8 SU'!$P45+Fuel2ShrbyTech!P33/'Inputs 7&amp;8 SU'!$V45))</f>
        <v>9.8904881475244188</v>
      </c>
      <c r="Q32" s="1092">
        <f>IF('Mkt Pen Veh-Mi'!Q32=0,1,1/((1-Fuel2ShrbyTech!Q33)/'Inputs 7&amp;8 SU'!$Q45+Fuel2ShrbyTech!Q33/'Inputs 7&amp;8 SU'!$W45))</f>
        <v>1</v>
      </c>
      <c r="R32" s="1092">
        <f>IF('Mkt Pen Veh-Mi'!R32=0,1,1/((1-Fuel2ShrbyTech!R33)/'Inputs 7&amp;8 SU'!$R45+Fuel2ShrbyTech!R33/'Inputs 7&amp;8 SU'!$X45))</f>
        <v>1</v>
      </c>
      <c r="S32" s="1093">
        <f>IF('Mkt Pen Veh-Mi'!S32=0,1,1/((1-Fuel2ShrbyTech!S33)/'Inputs 7&amp;8 SU'!$S45+Fuel2ShrbyTech!S33/'Inputs 7&amp;8 SU'!$Y45))</f>
        <v>13.490840444260868</v>
      </c>
      <c r="U32" s="1040">
        <f t="shared" si="13"/>
        <v>2030</v>
      </c>
      <c r="V32" s="1091">
        <f t="shared" si="14"/>
        <v>7.8652683559393761</v>
      </c>
      <c r="W32" s="1092">
        <f t="shared" si="15"/>
        <v>8.4008598803544565</v>
      </c>
      <c r="X32" s="1092">
        <f t="shared" si="16"/>
        <v>9.0714740550514286</v>
      </c>
      <c r="Y32" s="1092">
        <f t="shared" si="17"/>
        <v>0</v>
      </c>
      <c r="Z32" s="1092">
        <f t="shared" si="18"/>
        <v>0</v>
      </c>
      <c r="AA32" s="1093">
        <f t="shared" si="19"/>
        <v>0</v>
      </c>
      <c r="AB32" s="1091">
        <f t="shared" si="20"/>
        <v>7.3069231945163011</v>
      </c>
      <c r="AC32" s="1092">
        <f t="shared" si="21"/>
        <v>9.0375134565067832</v>
      </c>
      <c r="AD32" s="1092">
        <f t="shared" si="22"/>
        <v>9.6793914028521701</v>
      </c>
      <c r="AE32" s="1092">
        <f t="shared" si="23"/>
        <v>0</v>
      </c>
      <c r="AF32" s="1092">
        <f t="shared" si="24"/>
        <v>0</v>
      </c>
      <c r="AG32" s="1093">
        <f t="shared" si="25"/>
        <v>0</v>
      </c>
      <c r="AH32" s="1091">
        <f t="shared" si="26"/>
        <v>7.6650043308267701</v>
      </c>
      <c r="AI32" s="1092">
        <f t="shared" si="27"/>
        <v>7.7240004601149224</v>
      </c>
      <c r="AJ32" s="1092">
        <f t="shared" si="28"/>
        <v>9.8904881475244188</v>
      </c>
      <c r="AK32" s="1092">
        <f t="shared" si="29"/>
        <v>0</v>
      </c>
      <c r="AL32" s="1092">
        <f t="shared" si="30"/>
        <v>0</v>
      </c>
      <c r="AM32" s="1093">
        <f t="shared" si="31"/>
        <v>13.490840444260868</v>
      </c>
      <c r="AN32" s="1019">
        <v>2030</v>
      </c>
      <c r="AO32" s="1165">
        <f t="array" ref="AO32">1/SUMPRODUCT(IFERROR(1/V32:AA32,0),'Mkt Pen Veh-Mi'!B32:G32)</f>
        <v>8.4017684851928358</v>
      </c>
      <c r="AP32" s="1166">
        <f t="array" ref="AP32">1/SUMPRODUCT(IFERROR(1/AB32:AG32,0),'Mkt Pen Veh-Mi'!H32:M32)</f>
        <v>8.0604656884572581</v>
      </c>
      <c r="AQ32" s="1170">
        <f t="array" ref="AQ32">1/SUMPRODUCT(IFERROR(1/AH32:AM32,0),'Mkt Pen Veh-Mi'!N32:S32)</f>
        <v>8.4135979566196717</v>
      </c>
      <c r="AR32" s="1163">
        <v>2030</v>
      </c>
      <c r="AS32" s="1165">
        <f t="shared" si="32"/>
        <v>1.0682112936233545</v>
      </c>
      <c r="AT32" s="1166">
        <f t="shared" si="33"/>
        <v>1.1031271951108608</v>
      </c>
      <c r="AU32" s="1166">
        <f t="shared" si="34"/>
        <v>1.0976638229390481</v>
      </c>
      <c r="AV32" s="1170">
        <v>1.1812981817033279</v>
      </c>
    </row>
    <row r="33" spans="1:48" s="1019" customFormat="1" ht="15" x14ac:dyDescent="0.25">
      <c r="A33" s="1034">
        <v>2031</v>
      </c>
      <c r="B33" s="1094">
        <f>IF('Mkt Pen Veh-Mi'!B33=0,1,1/((1-Fuel2ShrbyTech!B34)/'Inputs 7&amp;8 Sleep'!$N46+Fuel2ShrbyTech!B34/'Inputs 7&amp;8 Sleep'!$T46))</f>
        <v>7.9599764527524544</v>
      </c>
      <c r="C33" s="1095">
        <f>IF('Mkt Pen Veh-Mi'!C33=0,1,1/((1-Fuel2ShrbyTech!C34)/'Inputs 7&amp;8 Sleep'!$O46+Fuel2ShrbyTech!C34/'Inputs 7&amp;8 Sleep'!$U46))</f>
        <v>8.6066966712107327</v>
      </c>
      <c r="D33" s="1095">
        <f>IF('Mkt Pen Veh-Mi'!D33=0,1,1/((1-Fuel2ShrbyTech!D34)/'Inputs 7&amp;8 Sleep'!$P46+Fuel2ShrbyTech!D34/'Inputs 7&amp;8 Sleep'!$V46))</f>
        <v>9.3015406226745103</v>
      </c>
      <c r="E33" s="1095">
        <f>IF('Mkt Pen Veh-Mi'!E33=0,1,1/((1-Fuel2ShrbyTech!E34)/'Inputs 7&amp;8 Sleep'!$Q46+Fuel2ShrbyTech!E34/'Inputs 7&amp;8 Sleep'!$W46))</f>
        <v>1</v>
      </c>
      <c r="F33" s="1095">
        <f>IF('Mkt Pen Veh-Mi'!F33=0,1,1/((1-Fuel2ShrbyTech!F34)/'Inputs 7&amp;8 Sleep'!$R46+Fuel2ShrbyTech!F34/'Inputs 7&amp;8 Sleep'!$X46))</f>
        <v>1</v>
      </c>
      <c r="G33" s="1096">
        <f>IF('Mkt Pen Veh-Mi'!G33=0,1,1/((1-Fuel2ShrbyTech!G34)/'Inputs 7&amp;8 Sleep'!$S46+Fuel2ShrbyTech!G34/'Inputs 7&amp;8 Sleep'!$Y46))</f>
        <v>1</v>
      </c>
      <c r="H33" s="1094">
        <f>IF('Mkt Pen Veh-Mi'!H33=0,1,1/((1-Fuel2ShrbyTech!H34)/'Inputs 7&amp;8 Day'!$N46+Fuel2ShrbyTech!H34/'Inputs 7&amp;8 Day'!$T46))</f>
        <v>7.3125555989863509</v>
      </c>
      <c r="I33" s="1095">
        <f>IF('Mkt Pen Veh-Mi'!I33=0,1,1/((1-Fuel2ShrbyTech!I34)/'Inputs 7&amp;8 Day'!$O46+Fuel2ShrbyTech!I34/'Inputs 7&amp;8 Day'!$U46))</f>
        <v>9.3346782066082223</v>
      </c>
      <c r="J33" s="1095">
        <f>IF('Mkt Pen Veh-Mi'!J33=0,1,1/((1-Fuel2ShrbyTech!J34)/'Inputs 7&amp;8 Day'!$P46+Fuel2ShrbyTech!J34/'Inputs 7&amp;8 Day'!$V46))</f>
        <v>10.014244022934831</v>
      </c>
      <c r="K33" s="1095">
        <f>IF('Mkt Pen Veh-Mi'!K33=0,1,1/((1-Fuel2ShrbyTech!K34)/'Inputs 7&amp;8 Day'!$Q46+Fuel2ShrbyTech!K34/'Inputs 7&amp;8 Day'!$W46))</f>
        <v>1</v>
      </c>
      <c r="L33" s="1095">
        <f>IF('Mkt Pen Veh-Mi'!L33=0,1,1/((1-Fuel2ShrbyTech!L34)/'Inputs 7&amp;8 Day'!$R46+Fuel2ShrbyTech!L34/'Inputs 7&amp;8 Day'!$X46))</f>
        <v>1</v>
      </c>
      <c r="M33" s="1096">
        <f>IF('Mkt Pen Veh-Mi'!M33=0,1,1/((1-Fuel2ShrbyTech!M34)/'Inputs 7&amp;8 Day'!$S46+Fuel2ShrbyTech!M34/'Inputs 7&amp;8 Day'!$Y46))</f>
        <v>1</v>
      </c>
      <c r="N33" s="1094">
        <f>IF('Mkt Pen Veh-Mi'!N33=0,1,1/((1-Fuel2ShrbyTech!N34)/'Inputs 7&amp;8 SU'!$N46+Fuel2ShrbyTech!N34/'Inputs 7&amp;8 SU'!$T46))</f>
        <v>7.8124608729980718</v>
      </c>
      <c r="O33" s="1095">
        <f>IF('Mkt Pen Veh-Mi'!O33=0,1,1/((1-Fuel2ShrbyTech!O34)/'Inputs 7&amp;8 SU'!$O46+Fuel2ShrbyTech!O34/'Inputs 7&amp;8 SU'!$U46))</f>
        <v>7.8909622740226864</v>
      </c>
      <c r="P33" s="1095">
        <f>IF('Mkt Pen Veh-Mi'!P33=0,1,1/((1-Fuel2ShrbyTech!P34)/'Inputs 7&amp;8 SU'!$P46+Fuel2ShrbyTech!P34/'Inputs 7&amp;8 SU'!$V46))</f>
        <v>10.099445828804107</v>
      </c>
      <c r="Q33" s="1095">
        <f>IF('Mkt Pen Veh-Mi'!Q33=0,1,1/((1-Fuel2ShrbyTech!Q34)/'Inputs 7&amp;8 SU'!$Q46+Fuel2ShrbyTech!Q34/'Inputs 7&amp;8 SU'!$W46))</f>
        <v>1</v>
      </c>
      <c r="R33" s="1095">
        <f>IF('Mkt Pen Veh-Mi'!R33=0,1,1/((1-Fuel2ShrbyTech!R34)/'Inputs 7&amp;8 SU'!$R46+Fuel2ShrbyTech!R34/'Inputs 7&amp;8 SU'!$X46))</f>
        <v>17.29461363856646</v>
      </c>
      <c r="S33" s="1096">
        <f>IF('Mkt Pen Veh-Mi'!S33=0,1,1/((1-Fuel2ShrbyTech!S34)/'Inputs 7&amp;8 SU'!$S46+Fuel2ShrbyTech!S34/'Inputs 7&amp;8 SU'!$Y46))</f>
        <v>13.797602015688424</v>
      </c>
      <c r="U33" s="1034">
        <f t="shared" si="13"/>
        <v>2031</v>
      </c>
      <c r="V33" s="1094">
        <f t="shared" si="14"/>
        <v>7.9599764527524544</v>
      </c>
      <c r="W33" s="1095">
        <f t="shared" si="15"/>
        <v>8.6066966712107327</v>
      </c>
      <c r="X33" s="1095">
        <f t="shared" si="16"/>
        <v>9.3015406226745103</v>
      </c>
      <c r="Y33" s="1095">
        <f t="shared" si="17"/>
        <v>0</v>
      </c>
      <c r="Z33" s="1095">
        <f t="shared" si="18"/>
        <v>0</v>
      </c>
      <c r="AA33" s="1096">
        <f t="shared" si="19"/>
        <v>0</v>
      </c>
      <c r="AB33" s="1094">
        <f t="shared" si="20"/>
        <v>7.3125555989863509</v>
      </c>
      <c r="AC33" s="1095">
        <f t="shared" si="21"/>
        <v>9.3346782066082223</v>
      </c>
      <c r="AD33" s="1095">
        <f t="shared" si="22"/>
        <v>10.014244022934831</v>
      </c>
      <c r="AE33" s="1095">
        <f t="shared" si="23"/>
        <v>0</v>
      </c>
      <c r="AF33" s="1095">
        <f t="shared" si="24"/>
        <v>0</v>
      </c>
      <c r="AG33" s="1096">
        <f t="shared" si="25"/>
        <v>0</v>
      </c>
      <c r="AH33" s="1094">
        <f t="shared" si="26"/>
        <v>7.8124608729980718</v>
      </c>
      <c r="AI33" s="1095">
        <f t="shared" si="27"/>
        <v>7.8909622740226864</v>
      </c>
      <c r="AJ33" s="1095">
        <f t="shared" si="28"/>
        <v>10.099445828804107</v>
      </c>
      <c r="AK33" s="1095">
        <f t="shared" si="29"/>
        <v>0</v>
      </c>
      <c r="AL33" s="1095">
        <f t="shared" si="30"/>
        <v>17.29461363856646</v>
      </c>
      <c r="AM33" s="1096">
        <f t="shared" si="31"/>
        <v>13.797602015688424</v>
      </c>
      <c r="AN33" s="1019">
        <v>2031</v>
      </c>
      <c r="AO33" s="1165">
        <f t="array" ref="AO33">1/SUMPRODUCT(IFERROR(1/V33:AA33,0),'Mkt Pen Veh-Mi'!B33:G33)</f>
        <v>8.7336353619300198</v>
      </c>
      <c r="AP33" s="1166">
        <f t="array" ref="AP33">1/SUMPRODUCT(IFERROR(1/AB33:AG33,0),'Mkt Pen Veh-Mi'!H33:M33)</f>
        <v>8.4690485624000136</v>
      </c>
      <c r="AQ33" s="1170">
        <f t="array" ref="AQ33">1/SUMPRODUCT(IFERROR(1/AH33:AM33,0),'Mkt Pen Veh-Mi'!N33:S33)</f>
        <v>8.7316635140617418</v>
      </c>
      <c r="AR33" s="1163">
        <v>2031</v>
      </c>
      <c r="AS33" s="1165">
        <f t="shared" si="32"/>
        <v>1.0971936178165507</v>
      </c>
      <c r="AT33" s="1166">
        <f t="shared" si="33"/>
        <v>1.1581516814140835</v>
      </c>
      <c r="AU33" s="1166">
        <f t="shared" si="34"/>
        <v>1.1176585273202042</v>
      </c>
      <c r="AV33" s="1170">
        <v>1.2181775878152028</v>
      </c>
    </row>
    <row r="34" spans="1:48" s="1019" customFormat="1" ht="15" x14ac:dyDescent="0.25">
      <c r="A34" s="1034">
        <v>2032</v>
      </c>
      <c r="B34" s="1088">
        <f>IF('Mkt Pen Veh-Mi'!B34=0,1,1/((1-Fuel2ShrbyTech!B35)/'Inputs 7&amp;8 Sleep'!$N47+Fuel2ShrbyTech!B35/'Inputs 7&amp;8 Sleep'!$T47))</f>
        <v>8.0214709255018093</v>
      </c>
      <c r="C34" s="1089">
        <f>IF('Mkt Pen Veh-Mi'!C34=0,1,1/((1-Fuel2ShrbyTech!C35)/'Inputs 7&amp;8 Sleep'!$O47+Fuel2ShrbyTech!C35/'Inputs 7&amp;8 Sleep'!$U47))</f>
        <v>8.73563942763335</v>
      </c>
      <c r="D34" s="1089">
        <f>IF('Mkt Pen Veh-Mi'!D34=0,1,1/((1-Fuel2ShrbyTech!D35)/'Inputs 7&amp;8 Sleep'!$P47+Fuel2ShrbyTech!D35/'Inputs 7&amp;8 Sleep'!$V47))</f>
        <v>9.4456616870702543</v>
      </c>
      <c r="E34" s="1089">
        <f>IF('Mkt Pen Veh-Mi'!E34=0,1,1/((1-Fuel2ShrbyTech!E35)/'Inputs 7&amp;8 Sleep'!$Q47+Fuel2ShrbyTech!E35/'Inputs 7&amp;8 Sleep'!$W47))</f>
        <v>1</v>
      </c>
      <c r="F34" s="1089">
        <f>IF('Mkt Pen Veh-Mi'!F34=0,1,1/((1-Fuel2ShrbyTech!F35)/'Inputs 7&amp;8 Sleep'!$R47+Fuel2ShrbyTech!F35/'Inputs 7&amp;8 Sleep'!$X47))</f>
        <v>1</v>
      </c>
      <c r="G34" s="1090">
        <f>IF('Mkt Pen Veh-Mi'!G34=0,1,1/((1-Fuel2ShrbyTech!G35)/'Inputs 7&amp;8 Sleep'!$S47+Fuel2ShrbyTech!G35/'Inputs 7&amp;8 Sleep'!$Y47))</f>
        <v>1</v>
      </c>
      <c r="H34" s="1088">
        <f>IF('Mkt Pen Veh-Mi'!H34=0,1,1/((1-Fuel2ShrbyTech!H35)/'Inputs 7&amp;8 Day'!$N47+Fuel2ShrbyTech!H35/'Inputs 7&amp;8 Day'!$T47))</f>
        <v>7.3181923450895674</v>
      </c>
      <c r="I34" s="1089">
        <f>IF('Mkt Pen Veh-Mi'!I34=0,1,1/((1-Fuel2ShrbyTech!I35)/'Inputs 7&amp;8 Day'!$O47+Fuel2ShrbyTech!I35/'Inputs 7&amp;8 Day'!$U47))</f>
        <v>9.550673713414314</v>
      </c>
      <c r="J34" s="1089">
        <f>IF('Mkt Pen Veh-Mi'!J34=0,1,1/((1-Fuel2ShrbyTech!J35)/'Inputs 7&amp;8 Day'!$P47+Fuel2ShrbyTech!J35/'Inputs 7&amp;8 Day'!$V47))</f>
        <v>10.257633123948372</v>
      </c>
      <c r="K34" s="1089">
        <f>IF('Mkt Pen Veh-Mi'!K34=0,1,1/((1-Fuel2ShrbyTech!K35)/'Inputs 7&amp;8 Day'!$Q47+Fuel2ShrbyTech!K35/'Inputs 7&amp;8 Day'!$W47))</f>
        <v>1</v>
      </c>
      <c r="L34" s="1089">
        <f>IF('Mkt Pen Veh-Mi'!L34=0,1,1/((1-Fuel2ShrbyTech!L35)/'Inputs 7&amp;8 Day'!$R47+Fuel2ShrbyTech!L35/'Inputs 7&amp;8 Day'!$X47))</f>
        <v>1</v>
      </c>
      <c r="M34" s="1090">
        <f>IF('Mkt Pen Veh-Mi'!M34=0,1,1/((1-Fuel2ShrbyTech!M35)/'Inputs 7&amp;8 Day'!$S47+Fuel2ShrbyTech!M35/'Inputs 7&amp;8 Day'!$Y47))</f>
        <v>10.191925657122136</v>
      </c>
      <c r="N34" s="1088">
        <f>IF('Mkt Pen Veh-Mi'!N34=0,1,1/((1-Fuel2ShrbyTech!N35)/'Inputs 7&amp;8 SU'!$N47+Fuel2ShrbyTech!N35/'Inputs 7&amp;8 SU'!$T47))</f>
        <v>7.8283446817637188</v>
      </c>
      <c r="O34" s="1089">
        <f>IF('Mkt Pen Veh-Mi'!O34=0,1,1/((1-Fuel2ShrbyTech!O35)/'Inputs 7&amp;8 SU'!$O47+Fuel2ShrbyTech!O35/'Inputs 7&amp;8 SU'!$U47))</f>
        <v>8.0471054527156998</v>
      </c>
      <c r="P34" s="1089">
        <f>IF('Mkt Pen Veh-Mi'!P34=0,1,1/((1-Fuel2ShrbyTech!P35)/'Inputs 7&amp;8 SU'!$P47+Fuel2ShrbyTech!P35/'Inputs 7&amp;8 SU'!$V47))</f>
        <v>10.294863665995049</v>
      </c>
      <c r="Q34" s="1089">
        <f>IF('Mkt Pen Veh-Mi'!Q34=0,1,1/((1-Fuel2ShrbyTech!Q35)/'Inputs 7&amp;8 SU'!$Q47+Fuel2ShrbyTech!Q35/'Inputs 7&amp;8 SU'!$W47))</f>
        <v>1</v>
      </c>
      <c r="R34" s="1089">
        <f>IF('Mkt Pen Veh-Mi'!R34=0,1,1/((1-Fuel2ShrbyTech!R35)/'Inputs 7&amp;8 SU'!$R47+Fuel2ShrbyTech!R35/'Inputs 7&amp;8 SU'!$X47))</f>
        <v>17.514325159765665</v>
      </c>
      <c r="S34" s="1090">
        <f>IF('Mkt Pen Veh-Mi'!S34=0,1,1/((1-Fuel2ShrbyTech!S35)/'Inputs 7&amp;8 SU'!$S47+Fuel2ShrbyTech!S35/'Inputs 7&amp;8 SU'!$Y47))</f>
        <v>14.083822921871636</v>
      </c>
      <c r="U34" s="1034">
        <f t="shared" si="13"/>
        <v>2032</v>
      </c>
      <c r="V34" s="1088">
        <f t="shared" si="14"/>
        <v>8.0214709255018093</v>
      </c>
      <c r="W34" s="1089">
        <f t="shared" si="15"/>
        <v>8.73563942763335</v>
      </c>
      <c r="X34" s="1089">
        <f t="shared" si="16"/>
        <v>9.4456616870702543</v>
      </c>
      <c r="Y34" s="1089">
        <f t="shared" si="17"/>
        <v>0</v>
      </c>
      <c r="Z34" s="1089">
        <f t="shared" si="18"/>
        <v>0</v>
      </c>
      <c r="AA34" s="1090">
        <f t="shared" si="19"/>
        <v>0</v>
      </c>
      <c r="AB34" s="1088">
        <f t="shared" si="20"/>
        <v>7.3181923450895674</v>
      </c>
      <c r="AC34" s="1089">
        <f t="shared" si="21"/>
        <v>9.550673713414314</v>
      </c>
      <c r="AD34" s="1089">
        <f t="shared" si="22"/>
        <v>10.257633123948372</v>
      </c>
      <c r="AE34" s="1089">
        <f t="shared" si="23"/>
        <v>0</v>
      </c>
      <c r="AF34" s="1089">
        <f t="shared" si="24"/>
        <v>0</v>
      </c>
      <c r="AG34" s="1090">
        <f t="shared" si="25"/>
        <v>10.191925657122136</v>
      </c>
      <c r="AH34" s="1088">
        <f t="shared" si="26"/>
        <v>7.8283446817637188</v>
      </c>
      <c r="AI34" s="1089">
        <f t="shared" si="27"/>
        <v>8.0471054527156998</v>
      </c>
      <c r="AJ34" s="1089">
        <f t="shared" si="28"/>
        <v>10.294863665995049</v>
      </c>
      <c r="AK34" s="1089">
        <f t="shared" si="29"/>
        <v>0</v>
      </c>
      <c r="AL34" s="1089">
        <f t="shared" si="30"/>
        <v>17.514325159765665</v>
      </c>
      <c r="AM34" s="1090">
        <f t="shared" si="31"/>
        <v>14.083822921871636</v>
      </c>
      <c r="AN34" s="1019">
        <v>2032</v>
      </c>
      <c r="AO34" s="1165">
        <f t="array" ref="AO34">1/SUMPRODUCT(IFERROR(1/V34:AA34,0),'Mkt Pen Veh-Mi'!B34:G34)</f>
        <v>8.9420402607452978</v>
      </c>
      <c r="AP34" s="1166">
        <f t="array" ref="AP34">1/SUMPRODUCT(IFERROR(1/AB34:AG34,0),'Mkt Pen Veh-Mi'!H34:M34)</f>
        <v>8.7634565109798963</v>
      </c>
      <c r="AQ34" s="1170">
        <f t="array" ref="AQ34">1/SUMPRODUCT(IFERROR(1/AH34:AM34,0),'Mkt Pen Veh-Mi'!N34:S34)</f>
        <v>8.8540327382379242</v>
      </c>
      <c r="AR34" s="1163">
        <v>2032</v>
      </c>
      <c r="AS34" s="1165">
        <f t="shared" si="32"/>
        <v>1.1147631580034556</v>
      </c>
      <c r="AT34" s="1166">
        <f t="shared" si="33"/>
        <v>1.1974892292712265</v>
      </c>
      <c r="AU34" s="1166">
        <f t="shared" si="34"/>
        <v>1.1310223422920513</v>
      </c>
      <c r="AV34" s="1170">
        <v>1.2746723773692126</v>
      </c>
    </row>
    <row r="35" spans="1:48" s="1019" customFormat="1" ht="15" x14ac:dyDescent="0.25">
      <c r="A35" s="1034">
        <v>2033</v>
      </c>
      <c r="B35" s="1088">
        <f>IF('Mkt Pen Veh-Mi'!B35=0,1,1/((1-Fuel2ShrbyTech!B36)/'Inputs 7&amp;8 Sleep'!$N48+Fuel2ShrbyTech!B36/'Inputs 7&amp;8 Sleep'!$T48))</f>
        <v>8.0395269119106274</v>
      </c>
      <c r="C35" s="1089">
        <f>IF('Mkt Pen Veh-Mi'!C35=0,1,1/((1-Fuel2ShrbyTech!C36)/'Inputs 7&amp;8 Sleep'!$O48+Fuel2ShrbyTech!C36/'Inputs 7&amp;8 Sleep'!$U48))</f>
        <v>8.8030910339560791</v>
      </c>
      <c r="D35" s="1089">
        <f>IF('Mkt Pen Veh-Mi'!D35=0,1,1/((1-Fuel2ShrbyTech!D36)/'Inputs 7&amp;8 Sleep'!$P48+Fuel2ShrbyTech!D36/'Inputs 7&amp;8 Sleep'!$V48))</f>
        <v>9.521053260572625</v>
      </c>
      <c r="E35" s="1089">
        <f>IF('Mkt Pen Veh-Mi'!E35=0,1,1/((1-Fuel2ShrbyTech!E36)/'Inputs 7&amp;8 Sleep'!$Q48+Fuel2ShrbyTech!E36/'Inputs 7&amp;8 Sleep'!$W48))</f>
        <v>1</v>
      </c>
      <c r="F35" s="1089">
        <f>IF('Mkt Pen Veh-Mi'!F35=0,1,1/((1-Fuel2ShrbyTech!F36)/'Inputs 7&amp;8 Sleep'!$R48+Fuel2ShrbyTech!F36/'Inputs 7&amp;8 Sleep'!$X48))</f>
        <v>1</v>
      </c>
      <c r="G35" s="1090">
        <f>IF('Mkt Pen Veh-Mi'!G35=0,1,1/((1-Fuel2ShrbyTech!G36)/'Inputs 7&amp;8 Sleep'!$S48+Fuel2ShrbyTech!G36/'Inputs 7&amp;8 Sleep'!$Y48))</f>
        <v>1</v>
      </c>
      <c r="H35" s="1088">
        <f>IF('Mkt Pen Veh-Mi'!H35=0,1,1/((1-Fuel2ShrbyTech!H36)/'Inputs 7&amp;8 Day'!$N48+Fuel2ShrbyTech!H36/'Inputs 7&amp;8 Day'!$T48))</f>
        <v>7.3238334361726238</v>
      </c>
      <c r="I35" s="1089">
        <f>IF('Mkt Pen Veh-Mi'!I35=0,1,1/((1-Fuel2ShrbyTech!I36)/'Inputs 7&amp;8 Day'!$O48+Fuel2ShrbyTech!I36/'Inputs 7&amp;8 Day'!$U48))</f>
        <v>9.6795309476099831</v>
      </c>
      <c r="J35" s="1089">
        <f>IF('Mkt Pen Veh-Mi'!J35=0,1,1/((1-Fuel2ShrbyTech!J36)/'Inputs 7&amp;8 Day'!$P48+Fuel2ShrbyTech!J36/'Inputs 7&amp;8 Day'!$V48))</f>
        <v>10.402832655428119</v>
      </c>
      <c r="K35" s="1089">
        <f>IF('Mkt Pen Veh-Mi'!K35=0,1,1/((1-Fuel2ShrbyTech!K36)/'Inputs 7&amp;8 Day'!$Q48+Fuel2ShrbyTech!K36/'Inputs 7&amp;8 Day'!$W48))</f>
        <v>1</v>
      </c>
      <c r="L35" s="1089">
        <f>IF('Mkt Pen Veh-Mi'!L35=0,1,1/((1-Fuel2ShrbyTech!L36)/'Inputs 7&amp;8 Day'!$R48+Fuel2ShrbyTech!L36/'Inputs 7&amp;8 Day'!$X48))</f>
        <v>1</v>
      </c>
      <c r="M35" s="1090">
        <f>IF('Mkt Pen Veh-Mi'!M35=0,1,1/((1-Fuel2ShrbyTech!M36)/'Inputs 7&amp;8 Day'!$S48+Fuel2ShrbyTech!M36/'Inputs 7&amp;8 Day'!$Y48))</f>
        <v>10.316253081620546</v>
      </c>
      <c r="N35" s="1088">
        <f>IF('Mkt Pen Veh-Mi'!N35=0,1,1/((1-Fuel2ShrbyTech!N36)/'Inputs 7&amp;8 SU'!$N48+Fuel2ShrbyTech!N36/'Inputs 7&amp;8 SU'!$T48))</f>
        <v>7.8442607844998591</v>
      </c>
      <c r="O35" s="1089">
        <f>IF('Mkt Pen Veh-Mi'!O35=0,1,1/((1-Fuel2ShrbyTech!O36)/'Inputs 7&amp;8 SU'!$O48+Fuel2ShrbyTech!O36/'Inputs 7&amp;8 SU'!$U48))</f>
        <v>8.171921573274874</v>
      </c>
      <c r="P35" s="1089">
        <f>IF('Mkt Pen Veh-Mi'!P35=0,1,1/((1-Fuel2ShrbyTech!P36)/'Inputs 7&amp;8 SU'!$P48+Fuel2ShrbyTech!P36/'Inputs 7&amp;8 SU'!$V48))</f>
        <v>10.45107475718971</v>
      </c>
      <c r="Q35" s="1089">
        <f>IF('Mkt Pen Veh-Mi'!Q35=0,1,1/((1-Fuel2ShrbyTech!Q36)/'Inputs 7&amp;8 SU'!$Q48+Fuel2ShrbyTech!Q36/'Inputs 7&amp;8 SU'!$W48))</f>
        <v>1</v>
      </c>
      <c r="R35" s="1089">
        <f>IF('Mkt Pen Veh-Mi'!R35=0,1,1/((1-Fuel2ShrbyTech!R36)/'Inputs 7&amp;8 SU'!$R48+Fuel2ShrbyTech!R36/'Inputs 7&amp;8 SU'!$X48))</f>
        <v>17.689955885025572</v>
      </c>
      <c r="S35" s="1090">
        <f>IF('Mkt Pen Veh-Mi'!S35=0,1,1/((1-Fuel2ShrbyTech!S36)/'Inputs 7&amp;8 SU'!$S48+Fuel2ShrbyTech!S36/'Inputs 7&amp;8 SU'!$Y48))</f>
        <v>14.322096033037603</v>
      </c>
      <c r="U35" s="1034">
        <f t="shared" si="13"/>
        <v>2033</v>
      </c>
      <c r="V35" s="1088">
        <f t="shared" si="14"/>
        <v>8.0395269119106274</v>
      </c>
      <c r="W35" s="1089">
        <f t="shared" si="15"/>
        <v>8.8030910339560791</v>
      </c>
      <c r="X35" s="1089">
        <f t="shared" si="16"/>
        <v>9.521053260572625</v>
      </c>
      <c r="Y35" s="1089">
        <f t="shared" si="17"/>
        <v>0</v>
      </c>
      <c r="Z35" s="1089">
        <f t="shared" si="18"/>
        <v>0</v>
      </c>
      <c r="AA35" s="1090">
        <f t="shared" si="19"/>
        <v>0</v>
      </c>
      <c r="AB35" s="1088">
        <f t="shared" si="20"/>
        <v>7.3238334361726238</v>
      </c>
      <c r="AC35" s="1089">
        <f t="shared" si="21"/>
        <v>9.6795309476099831</v>
      </c>
      <c r="AD35" s="1089">
        <f t="shared" si="22"/>
        <v>10.402832655428119</v>
      </c>
      <c r="AE35" s="1089">
        <f t="shared" si="23"/>
        <v>0</v>
      </c>
      <c r="AF35" s="1089">
        <f t="shared" si="24"/>
        <v>0</v>
      </c>
      <c r="AG35" s="1090">
        <f t="shared" si="25"/>
        <v>10.316253081620546</v>
      </c>
      <c r="AH35" s="1088">
        <f t="shared" si="26"/>
        <v>7.8442607844998591</v>
      </c>
      <c r="AI35" s="1089">
        <f t="shared" si="27"/>
        <v>8.171921573274874</v>
      </c>
      <c r="AJ35" s="1089">
        <f t="shared" si="28"/>
        <v>10.45107475718971</v>
      </c>
      <c r="AK35" s="1089">
        <f t="shared" si="29"/>
        <v>0</v>
      </c>
      <c r="AL35" s="1089">
        <f t="shared" si="30"/>
        <v>17.689955885025572</v>
      </c>
      <c r="AM35" s="1090">
        <f t="shared" si="31"/>
        <v>14.322096033037603</v>
      </c>
      <c r="AN35" s="1019">
        <v>2033</v>
      </c>
      <c r="AO35" s="1165">
        <f t="array" ref="AO35">1/SUMPRODUCT(IFERROR(1/V35:AA35,0),'Mkt Pen Veh-Mi'!B35:G35)</f>
        <v>9.0509695486412713</v>
      </c>
      <c r="AP35" s="1166">
        <f t="array" ref="AP35">1/SUMPRODUCT(IFERROR(1/AB35:AG35,0),'Mkt Pen Veh-Mi'!H35:M35)</f>
        <v>8.9472847481615325</v>
      </c>
      <c r="AQ35" s="1170">
        <f t="array" ref="AQ35">1/SUMPRODUCT(IFERROR(1/AH35:AM35,0),'Mkt Pen Veh-Mi'!N35:S35)</f>
        <v>8.9309013471312095</v>
      </c>
      <c r="AR35" s="1163">
        <v>2033</v>
      </c>
      <c r="AS35" s="1165">
        <f t="shared" si="32"/>
        <v>1.1258087257886011</v>
      </c>
      <c r="AT35" s="1166">
        <f t="shared" si="33"/>
        <v>1.2216668806216477</v>
      </c>
      <c r="AU35" s="1166">
        <f t="shared" si="34"/>
        <v>1.1385268277641325</v>
      </c>
      <c r="AV35" s="1170">
        <v>1.3942553676087848</v>
      </c>
    </row>
    <row r="36" spans="1:48" s="1019" customFormat="1" ht="15" x14ac:dyDescent="0.25">
      <c r="A36" s="1034">
        <v>2034</v>
      </c>
      <c r="B36" s="1088">
        <f>IF('Mkt Pen Veh-Mi'!B36=0,1,1/((1-Fuel2ShrbyTech!B37)/'Inputs 7&amp;8 Sleep'!$N49+Fuel2ShrbyTech!B37/'Inputs 7&amp;8 Sleep'!$T49))</f>
        <v>8.0572116034836725</v>
      </c>
      <c r="C36" s="1089">
        <f>IF('Mkt Pen Veh-Mi'!C36=0,1,1/((1-Fuel2ShrbyTech!C37)/'Inputs 7&amp;8 Sleep'!$O49+Fuel2ShrbyTech!C37/'Inputs 7&amp;8 Sleep'!$U49))</f>
        <v>8.8350716230972957</v>
      </c>
      <c r="D36" s="1089">
        <f>IF('Mkt Pen Veh-Mi'!D36=0,1,1/((1-Fuel2ShrbyTech!D37)/'Inputs 7&amp;8 Sleep'!$P49+Fuel2ShrbyTech!D37/'Inputs 7&amp;8 Sleep'!$V49))</f>
        <v>9.5567983979879347</v>
      </c>
      <c r="E36" s="1089">
        <f>IF('Mkt Pen Veh-Mi'!E36=0,1,1/((1-Fuel2ShrbyTech!E37)/'Inputs 7&amp;8 Sleep'!$Q49+Fuel2ShrbyTech!E37/'Inputs 7&amp;8 Sleep'!$W49))</f>
        <v>1</v>
      </c>
      <c r="F36" s="1089">
        <f>IF('Mkt Pen Veh-Mi'!F36=0,1,1/((1-Fuel2ShrbyTech!F37)/'Inputs 7&amp;8 Sleep'!$R49+Fuel2ShrbyTech!F37/'Inputs 7&amp;8 Sleep'!$X49))</f>
        <v>1</v>
      </c>
      <c r="G36" s="1090">
        <f>IF('Mkt Pen Veh-Mi'!G36=0,1,1/((1-Fuel2ShrbyTech!G37)/'Inputs 7&amp;8 Sleep'!$S49+Fuel2ShrbyTech!G37/'Inputs 7&amp;8 Sleep'!$Y49))</f>
        <v>1</v>
      </c>
      <c r="H36" s="1088">
        <f>IF('Mkt Pen Veh-Mi'!H36=0,1,1/((1-Fuel2ShrbyTech!H37)/'Inputs 7&amp;8 Day'!$N49+Fuel2ShrbyTech!H37/'Inputs 7&amp;8 Day'!$T49))</f>
        <v>7.3294788755847629</v>
      </c>
      <c r="I36" s="1089">
        <f>IF('Mkt Pen Veh-Mi'!I36=0,1,1/((1-Fuel2ShrbyTech!I37)/'Inputs 7&amp;8 Day'!$O49+Fuel2ShrbyTech!I37/'Inputs 7&amp;8 Day'!$U49))</f>
        <v>9.7475431084267541</v>
      </c>
      <c r="J36" s="1089">
        <f>IF('Mkt Pen Veh-Mi'!J36=0,1,1/((1-Fuel2ShrbyTech!J37)/'Inputs 7&amp;8 Day'!$P49+Fuel2ShrbyTech!J37/'Inputs 7&amp;8 Day'!$V49))</f>
        <v>10.479470447222754</v>
      </c>
      <c r="K36" s="1089">
        <f>IF('Mkt Pen Veh-Mi'!K36=0,1,1/((1-Fuel2ShrbyTech!K37)/'Inputs 7&amp;8 Day'!$Q49+Fuel2ShrbyTech!K37/'Inputs 7&amp;8 Day'!$W49))</f>
        <v>1</v>
      </c>
      <c r="L36" s="1089">
        <f>IF('Mkt Pen Veh-Mi'!L36=0,1,1/((1-Fuel2ShrbyTech!L37)/'Inputs 7&amp;8 Day'!$R49+Fuel2ShrbyTech!L37/'Inputs 7&amp;8 Day'!$X49))</f>
        <v>1</v>
      </c>
      <c r="M36" s="1090">
        <f>IF('Mkt Pen Veh-Mi'!M36=0,1,1/((1-Fuel2ShrbyTech!M37)/'Inputs 7&amp;8 Day'!$S49+Fuel2ShrbyTech!M37/'Inputs 7&amp;8 Day'!$Y49))</f>
        <v>10.382034527352671</v>
      </c>
      <c r="N36" s="1088">
        <f>IF('Mkt Pen Veh-Mi'!N36=0,1,1/((1-Fuel2ShrbyTech!N37)/'Inputs 7&amp;8 SU'!$N49+Fuel2ShrbyTech!N37/'Inputs 7&amp;8 SU'!$T49))</f>
        <v>7.8602092468645806</v>
      </c>
      <c r="O36" s="1089">
        <f>IF('Mkt Pen Veh-Mi'!O36=0,1,1/((1-Fuel2ShrbyTech!O37)/'Inputs 7&amp;8 SU'!$O49+Fuel2ShrbyTech!O37/'Inputs 7&amp;8 SU'!$U49))</f>
        <v>8.2597638852724664</v>
      </c>
      <c r="P36" s="1089">
        <f>IF('Mkt Pen Veh-Mi'!P36=0,1,1/((1-Fuel2ShrbyTech!P37)/'Inputs 7&amp;8 SU'!$P49+Fuel2ShrbyTech!P37/'Inputs 7&amp;8 SU'!$V49))</f>
        <v>10.561012026099618</v>
      </c>
      <c r="Q36" s="1089">
        <f>IF('Mkt Pen Veh-Mi'!Q36=0,1,1/((1-Fuel2ShrbyTech!Q37)/'Inputs 7&amp;8 SU'!$Q49+Fuel2ShrbyTech!Q37/'Inputs 7&amp;8 SU'!$W49))</f>
        <v>1</v>
      </c>
      <c r="R36" s="1089">
        <f>IF('Mkt Pen Veh-Mi'!R36=0,1,1/((1-Fuel2ShrbyTech!R37)/'Inputs 7&amp;8 SU'!$R49+Fuel2ShrbyTech!R37/'Inputs 7&amp;8 SU'!$X49))</f>
        <v>17.813560183056364</v>
      </c>
      <c r="S36" s="1090">
        <f>IF('Mkt Pen Veh-Mi'!S36=0,1,1/((1-Fuel2ShrbyTech!S37)/'Inputs 7&amp;8 SU'!$S49+Fuel2ShrbyTech!S37/'Inputs 7&amp;8 SU'!$Y49))</f>
        <v>14.496558866563758</v>
      </c>
      <c r="U36" s="1034">
        <f t="shared" si="13"/>
        <v>2034</v>
      </c>
      <c r="V36" s="1088">
        <f t="shared" si="14"/>
        <v>8.0572116034836725</v>
      </c>
      <c r="W36" s="1089">
        <f t="shared" si="15"/>
        <v>8.8350716230972957</v>
      </c>
      <c r="X36" s="1089">
        <f t="shared" si="16"/>
        <v>9.5567983979879347</v>
      </c>
      <c r="Y36" s="1089">
        <f t="shared" si="17"/>
        <v>0</v>
      </c>
      <c r="Z36" s="1089">
        <f t="shared" si="18"/>
        <v>0</v>
      </c>
      <c r="AA36" s="1090">
        <f t="shared" si="19"/>
        <v>0</v>
      </c>
      <c r="AB36" s="1088">
        <f t="shared" si="20"/>
        <v>7.3294788755847629</v>
      </c>
      <c r="AC36" s="1089">
        <f t="shared" si="21"/>
        <v>9.7475431084267541</v>
      </c>
      <c r="AD36" s="1089">
        <f t="shared" si="22"/>
        <v>10.479470447222754</v>
      </c>
      <c r="AE36" s="1089">
        <f t="shared" si="23"/>
        <v>0</v>
      </c>
      <c r="AF36" s="1089">
        <f t="shared" si="24"/>
        <v>0</v>
      </c>
      <c r="AG36" s="1090">
        <f t="shared" si="25"/>
        <v>10.382034527352671</v>
      </c>
      <c r="AH36" s="1088">
        <f t="shared" si="26"/>
        <v>7.8602092468645806</v>
      </c>
      <c r="AI36" s="1089">
        <f t="shared" si="27"/>
        <v>8.2597638852724664</v>
      </c>
      <c r="AJ36" s="1089">
        <f t="shared" si="28"/>
        <v>10.561012026099618</v>
      </c>
      <c r="AK36" s="1089">
        <f t="shared" si="29"/>
        <v>0</v>
      </c>
      <c r="AL36" s="1089">
        <f t="shared" si="30"/>
        <v>17.813560183056364</v>
      </c>
      <c r="AM36" s="1090">
        <f t="shared" si="31"/>
        <v>14.496558866563758</v>
      </c>
      <c r="AN36" s="1019">
        <v>2034</v>
      </c>
      <c r="AO36" s="1165">
        <f t="array" ref="AO36">1/SUMPRODUCT(IFERROR(1/V36:AA36,0),'Mkt Pen Veh-Mi'!B36:G36)</f>
        <v>9.0997630899515336</v>
      </c>
      <c r="AP36" s="1166">
        <f t="array" ref="AP36">1/SUMPRODUCT(IFERROR(1/AB36:AG36,0),'Mkt Pen Veh-Mi'!H36:M36)</f>
        <v>9.0291980108104628</v>
      </c>
      <c r="AQ36" s="1170">
        <f t="array" ref="AQ36">1/SUMPRODUCT(IFERROR(1/AH36:AM36,0),'Mkt Pen Veh-Mi'!N36:S36)</f>
        <v>9.0144344215241645</v>
      </c>
      <c r="AR36" s="1163">
        <v>2034</v>
      </c>
      <c r="AS36" s="1165">
        <f t="shared" si="32"/>
        <v>1.1293935840057987</v>
      </c>
      <c r="AT36" s="1166">
        <f t="shared" si="33"/>
        <v>1.2319017714734994</v>
      </c>
      <c r="AU36" s="1166">
        <f t="shared" si="34"/>
        <v>1.1468440773532844</v>
      </c>
      <c r="AV36" s="1170">
        <v>1.5544037088823743</v>
      </c>
    </row>
    <row r="37" spans="1:48" s="1019" customFormat="1" ht="15" x14ac:dyDescent="0.25">
      <c r="A37" s="1040">
        <v>2035</v>
      </c>
      <c r="B37" s="1091">
        <f>IF('Mkt Pen Veh-Mi'!B37=0,1,1/((1-Fuel2ShrbyTech!B38)/'Inputs 7&amp;8 Sleep'!$N50+Fuel2ShrbyTech!B38/'Inputs 7&amp;8 Sleep'!$T50))</f>
        <v>8.0685847555815613</v>
      </c>
      <c r="C37" s="1092">
        <f>IF('Mkt Pen Veh-Mi'!C37=0,1,1/((1-Fuel2ShrbyTech!C38)/'Inputs 7&amp;8 Sleep'!$O50+Fuel2ShrbyTech!C38/'Inputs 7&amp;8 Sleep'!$U50))</f>
        <v>8.8608774886435011</v>
      </c>
      <c r="D37" s="1092">
        <f>IF('Mkt Pen Veh-Mi'!D37=0,1,1/((1-Fuel2ShrbyTech!D38)/'Inputs 7&amp;8 Sleep'!$P50+Fuel2ShrbyTech!D38/'Inputs 7&amp;8 Sleep'!$V50))</f>
        <v>9.5856419632517547</v>
      </c>
      <c r="E37" s="1092">
        <f>IF('Mkt Pen Veh-Mi'!E37=0,1,1/((1-Fuel2ShrbyTech!E38)/'Inputs 7&amp;8 Sleep'!$Q50+Fuel2ShrbyTech!E38/'Inputs 7&amp;8 Sleep'!$W50))</f>
        <v>1</v>
      </c>
      <c r="F37" s="1092">
        <f>IF('Mkt Pen Veh-Mi'!F37=0,1,1/((1-Fuel2ShrbyTech!F38)/'Inputs 7&amp;8 Sleep'!$R50+Fuel2ShrbyTech!F38/'Inputs 7&amp;8 Sleep'!$X50))</f>
        <v>1</v>
      </c>
      <c r="G37" s="1093">
        <f>IF('Mkt Pen Veh-Mi'!G37=0,1,1/((1-Fuel2ShrbyTech!G38)/'Inputs 7&amp;8 Sleep'!$S50+Fuel2ShrbyTech!G38/'Inputs 7&amp;8 Sleep'!$Y50))</f>
        <v>1</v>
      </c>
      <c r="H37" s="1091">
        <f>IF('Mkt Pen Veh-Mi'!H37=0,1,1/((1-Fuel2ShrbyTech!H38)/'Inputs 7&amp;8 Day'!$N50+Fuel2ShrbyTech!H38/'Inputs 7&amp;8 Day'!$T50))</f>
        <v>7.3351272149996589</v>
      </c>
      <c r="I37" s="1092">
        <f>IF('Mkt Pen Veh-Mi'!I37=0,1,1/((1-Fuel2ShrbyTech!I38)/'Inputs 7&amp;8 Day'!$O50+Fuel2ShrbyTech!I38/'Inputs 7&amp;8 Day'!$U50))</f>
        <v>9.8112798247637887</v>
      </c>
      <c r="J37" s="1092">
        <f>IF('Mkt Pen Veh-Mi'!J37=0,1,1/((1-Fuel2ShrbyTech!J38)/'Inputs 7&amp;8 Day'!$P50+Fuel2ShrbyTech!J38/'Inputs 7&amp;8 Day'!$V50))</f>
        <v>10.551290562002974</v>
      </c>
      <c r="K37" s="1092">
        <f>IF('Mkt Pen Veh-Mi'!K37=0,1,1/((1-Fuel2ShrbyTech!K38)/'Inputs 7&amp;8 Day'!$Q50+Fuel2ShrbyTech!K38/'Inputs 7&amp;8 Day'!$W50))</f>
        <v>1</v>
      </c>
      <c r="L37" s="1092">
        <f>IF('Mkt Pen Veh-Mi'!L37=0,1,1/((1-Fuel2ShrbyTech!L38)/'Inputs 7&amp;8 Day'!$R50+Fuel2ShrbyTech!L38/'Inputs 7&amp;8 Day'!$X50))</f>
        <v>1</v>
      </c>
      <c r="M37" s="1093">
        <f>IF('Mkt Pen Veh-Mi'!M37=0,1,1/((1-Fuel2ShrbyTech!M38)/'Inputs 7&amp;8 Day'!$S50+Fuel2ShrbyTech!M38/'Inputs 7&amp;8 Day'!$Y50))</f>
        <v>10.446828593928803</v>
      </c>
      <c r="N37" s="1091">
        <f>IF('Mkt Pen Veh-Mi'!N37=0,1,1/((1-Fuel2ShrbyTech!N38)/'Inputs 7&amp;8 SU'!$N50+Fuel2ShrbyTech!N38/'Inputs 7&amp;8 SU'!$T50))</f>
        <v>7.8761901346494616</v>
      </c>
      <c r="O37" s="1092">
        <f>IF('Mkt Pen Veh-Mi'!O37=0,1,1/((1-Fuel2ShrbyTech!O38)/'Inputs 7&amp;8 SU'!$O50+Fuel2ShrbyTech!O38/'Inputs 7&amp;8 SU'!$U50))</f>
        <v>8.3961894064911657</v>
      </c>
      <c r="P37" s="1092">
        <f>IF('Mkt Pen Veh-Mi'!P37=0,1,1/((1-Fuel2ShrbyTech!P38)/'Inputs 7&amp;8 SU'!$P50+Fuel2ShrbyTech!P38/'Inputs 7&amp;8 SU'!$V50))</f>
        <v>10.731752627881656</v>
      </c>
      <c r="Q37" s="1092">
        <f>IF('Mkt Pen Veh-Mi'!Q37=0,1,1/((1-Fuel2ShrbyTech!Q38)/'Inputs 7&amp;8 SU'!$Q50+Fuel2ShrbyTech!Q38/'Inputs 7&amp;8 SU'!$W50))</f>
        <v>1</v>
      </c>
      <c r="R37" s="1092">
        <f>IF('Mkt Pen Veh-Mi'!R37=0,1,1/((1-Fuel2ShrbyTech!R38)/'Inputs 7&amp;8 SU'!$R50+Fuel2ShrbyTech!R38/'Inputs 7&amp;8 SU'!$X50))</f>
        <v>18.005526678475846</v>
      </c>
      <c r="S37" s="1093">
        <f>IF('Mkt Pen Veh-Mi'!S37=0,1,1/((1-Fuel2ShrbyTech!S38)/'Inputs 7&amp;8 SU'!$S50+Fuel2ShrbyTech!S38/'Inputs 7&amp;8 SU'!$Y50))</f>
        <v>14.769605428074483</v>
      </c>
      <c r="U37" s="1040">
        <f t="shared" si="13"/>
        <v>2035</v>
      </c>
      <c r="V37" s="1091">
        <f t="shared" si="14"/>
        <v>8.0685847555815613</v>
      </c>
      <c r="W37" s="1092">
        <f t="shared" si="15"/>
        <v>8.8608774886435011</v>
      </c>
      <c r="X37" s="1092">
        <f t="shared" si="16"/>
        <v>9.5856419632517547</v>
      </c>
      <c r="Y37" s="1092">
        <f t="shared" si="17"/>
        <v>0</v>
      </c>
      <c r="Z37" s="1092">
        <f t="shared" si="18"/>
        <v>0</v>
      </c>
      <c r="AA37" s="1093">
        <f t="shared" si="19"/>
        <v>0</v>
      </c>
      <c r="AB37" s="1091">
        <f t="shared" si="20"/>
        <v>7.3351272149996589</v>
      </c>
      <c r="AC37" s="1092">
        <f t="shared" si="21"/>
        <v>9.8112798247637887</v>
      </c>
      <c r="AD37" s="1092">
        <f t="shared" si="22"/>
        <v>10.551290562002974</v>
      </c>
      <c r="AE37" s="1092">
        <f t="shared" si="23"/>
        <v>0</v>
      </c>
      <c r="AF37" s="1092">
        <f t="shared" si="24"/>
        <v>0</v>
      </c>
      <c r="AG37" s="1093">
        <f t="shared" si="25"/>
        <v>10.446828593928803</v>
      </c>
      <c r="AH37" s="1091">
        <f t="shared" si="26"/>
        <v>7.8761901346494616</v>
      </c>
      <c r="AI37" s="1092">
        <f t="shared" si="27"/>
        <v>8.3961894064911657</v>
      </c>
      <c r="AJ37" s="1092">
        <f t="shared" si="28"/>
        <v>10.731752627881656</v>
      </c>
      <c r="AK37" s="1092">
        <f t="shared" si="29"/>
        <v>0</v>
      </c>
      <c r="AL37" s="1092">
        <f t="shared" si="30"/>
        <v>18.005526678475846</v>
      </c>
      <c r="AM37" s="1093">
        <f t="shared" si="31"/>
        <v>14.769605428074483</v>
      </c>
      <c r="AN37" s="1019">
        <v>2035</v>
      </c>
      <c r="AO37" s="1165">
        <f t="array" ref="AO37">1/SUMPRODUCT(IFERROR(1/V37:AA37,0),'Mkt Pen Veh-Mi'!B37:G37)</f>
        <v>9.1345934239352857</v>
      </c>
      <c r="AP37" s="1166">
        <f t="array" ref="AP37">1/SUMPRODUCT(IFERROR(1/AB37:AG37,0),'Mkt Pen Veh-Mi'!H37:M37)</f>
        <v>9.1213895104372202</v>
      </c>
      <c r="AQ37" s="1170">
        <f t="array" ref="AQ37">1/SUMPRODUCT(IFERROR(1/AH37:AM37,0),'Mkt Pen Veh-Mi'!N37:S37)</f>
        <v>9.1026994369841372</v>
      </c>
      <c r="AR37" s="1163">
        <v>2035</v>
      </c>
      <c r="AS37" s="1171">
        <f t="shared" si="32"/>
        <v>1.1321184198525396</v>
      </c>
      <c r="AT37" s="1172">
        <f t="shared" si="33"/>
        <v>1.2435216517833283</v>
      </c>
      <c r="AU37" s="1172">
        <f t="shared" si="34"/>
        <v>1.1557236787541396</v>
      </c>
      <c r="AV37" s="1173">
        <v>1.733471734567664</v>
      </c>
    </row>
    <row r="38" spans="1:48" s="1019" customFormat="1" ht="15" x14ac:dyDescent="0.25">
      <c r="A38" s="1034">
        <v>2036</v>
      </c>
      <c r="B38" s="1094">
        <f>IF('Mkt Pen Veh-Mi'!B38=0,1,1/((1-Fuel2ShrbyTech!B39)/'Inputs 7&amp;8 Sleep'!$N51+Fuel2ShrbyTech!B39/'Inputs 7&amp;8 Sleep'!$T51))</f>
        <v>8.0827348383128879</v>
      </c>
      <c r="C38" s="1095">
        <f>IF('Mkt Pen Veh-Mi'!C38=0,1,1/((1-Fuel2ShrbyTech!C39)/'Inputs 7&amp;8 Sleep'!$O51+Fuel2ShrbyTech!C39/'Inputs 7&amp;8 Sleep'!$U51))</f>
        <v>8.9406892726786271</v>
      </c>
      <c r="D38" s="1095">
        <f>IF('Mkt Pen Veh-Mi'!D38=0,1,1/((1-Fuel2ShrbyTech!D39)/'Inputs 7&amp;8 Sleep'!$P51+Fuel2ShrbyTech!D39/'Inputs 7&amp;8 Sleep'!$V51))</f>
        <v>9.7197375914390829</v>
      </c>
      <c r="E38" s="1095">
        <f>IF('Mkt Pen Veh-Mi'!E38=0,1,1/((1-Fuel2ShrbyTech!E39)/'Inputs 7&amp;8 Sleep'!$Q51+Fuel2ShrbyTech!E39/'Inputs 7&amp;8 Sleep'!$W51))</f>
        <v>1</v>
      </c>
      <c r="F38" s="1095">
        <f>IF('Mkt Pen Veh-Mi'!F38=0,1,1/((1-Fuel2ShrbyTech!F39)/'Inputs 7&amp;8 Sleep'!$R51+Fuel2ShrbyTech!F39/'Inputs 7&amp;8 Sleep'!$X51))</f>
        <v>1</v>
      </c>
      <c r="G38" s="1096">
        <f>IF('Mkt Pen Veh-Mi'!G38=0,1,1/((1-Fuel2ShrbyTech!G39)/'Inputs 7&amp;8 Sleep'!$S51+Fuel2ShrbyTech!G39/'Inputs 7&amp;8 Sleep'!$Y51))</f>
        <v>1</v>
      </c>
      <c r="H38" s="1094">
        <f>IF('Mkt Pen Veh-Mi'!H38=0,1,1/((1-Fuel2ShrbyTech!H39)/'Inputs 7&amp;8 Day'!$N51+Fuel2ShrbyTech!H39/'Inputs 7&amp;8 Day'!$T51))</f>
        <v>7.3355433916329646</v>
      </c>
      <c r="I38" s="1095">
        <f>IF('Mkt Pen Veh-Mi'!I38=0,1,1/((1-Fuel2ShrbyTech!I39)/'Inputs 7&amp;8 Day'!$O51+Fuel2ShrbyTech!I39/'Inputs 7&amp;8 Day'!$U51))</f>
        <v>9.9011783319216775</v>
      </c>
      <c r="J38" s="1095">
        <f>IF('Mkt Pen Veh-Mi'!J38=0,1,1/((1-Fuel2ShrbyTech!J39)/'Inputs 7&amp;8 Day'!$P51+Fuel2ShrbyTech!J39/'Inputs 7&amp;8 Day'!$V51))</f>
        <v>10.700057377334481</v>
      </c>
      <c r="K38" s="1095">
        <f>IF('Mkt Pen Veh-Mi'!K38=0,1,1/((1-Fuel2ShrbyTech!K39)/'Inputs 7&amp;8 Day'!$Q51+Fuel2ShrbyTech!K39/'Inputs 7&amp;8 Day'!$W51))</f>
        <v>1</v>
      </c>
      <c r="L38" s="1095">
        <f>IF('Mkt Pen Veh-Mi'!L38=0,1,1/((1-Fuel2ShrbyTech!L39)/'Inputs 7&amp;8 Day'!$R51+Fuel2ShrbyTech!L39/'Inputs 7&amp;8 Day'!$X51))</f>
        <v>1</v>
      </c>
      <c r="M38" s="1096">
        <f>IF('Mkt Pen Veh-Mi'!M38=0,1,1/((1-Fuel2ShrbyTech!M39)/'Inputs 7&amp;8 Day'!$S51+Fuel2ShrbyTech!M39/'Inputs 7&amp;8 Day'!$Y51))</f>
        <v>10.630147746877906</v>
      </c>
      <c r="N38" s="1094">
        <f>IF('Mkt Pen Veh-Mi'!N38=0,1,1/((1-Fuel2ShrbyTech!N39)/'Inputs 7&amp;8 SU'!$N51+Fuel2ShrbyTech!N39/'Inputs 7&amp;8 SU'!$T51))</f>
        <v>7.8768612391973631</v>
      </c>
      <c r="O38" s="1095">
        <f>IF('Mkt Pen Veh-Mi'!O38=0,1,1/((1-Fuel2ShrbyTech!O39)/'Inputs 7&amp;8 SU'!$O51+Fuel2ShrbyTech!O39/'Inputs 7&amp;8 SU'!$U51))</f>
        <v>8.5301870170009053</v>
      </c>
      <c r="P38" s="1095">
        <f>IF('Mkt Pen Veh-Mi'!P38=0,1,1/((1-Fuel2ShrbyTech!P39)/'Inputs 7&amp;8 SU'!$P51+Fuel2ShrbyTech!P39/'Inputs 7&amp;8 SU'!$V51))</f>
        <v>10.92350634297406</v>
      </c>
      <c r="Q38" s="1095">
        <f>IF('Mkt Pen Veh-Mi'!Q38=0,1,1/((1-Fuel2ShrbyTech!Q39)/'Inputs 7&amp;8 SU'!$Q51+Fuel2ShrbyTech!Q39/'Inputs 7&amp;8 SU'!$W51))</f>
        <v>1</v>
      </c>
      <c r="R38" s="1095">
        <f>IF('Mkt Pen Veh-Mi'!R38=0,1,1/((1-Fuel2ShrbyTech!R39)/'Inputs 7&amp;8 SU'!$R51+Fuel2ShrbyTech!R39/'Inputs 7&amp;8 SU'!$X51))</f>
        <v>18.314707421534624</v>
      </c>
      <c r="S38" s="1096">
        <f>IF('Mkt Pen Veh-Mi'!S38=0,1,1/((1-Fuel2ShrbyTech!S39)/'Inputs 7&amp;8 SU'!$S51+Fuel2ShrbyTech!S39/'Inputs 7&amp;8 SU'!$Y51))</f>
        <v>15.084186794591748</v>
      </c>
      <c r="U38" s="1034">
        <f t="shared" si="13"/>
        <v>2036</v>
      </c>
      <c r="V38" s="1094">
        <f t="shared" si="14"/>
        <v>8.0827348383128879</v>
      </c>
      <c r="W38" s="1095">
        <f t="shared" si="15"/>
        <v>8.9406892726786271</v>
      </c>
      <c r="X38" s="1095">
        <f t="shared" si="16"/>
        <v>9.7197375914390829</v>
      </c>
      <c r="Y38" s="1095">
        <f t="shared" si="17"/>
        <v>0</v>
      </c>
      <c r="Z38" s="1095">
        <f t="shared" si="18"/>
        <v>0</v>
      </c>
      <c r="AA38" s="1096">
        <f t="shared" si="19"/>
        <v>0</v>
      </c>
      <c r="AB38" s="1094">
        <f t="shared" si="20"/>
        <v>7.3355433916329646</v>
      </c>
      <c r="AC38" s="1095">
        <f t="shared" si="21"/>
        <v>9.9011783319216775</v>
      </c>
      <c r="AD38" s="1095">
        <f t="shared" si="22"/>
        <v>10.700057377334481</v>
      </c>
      <c r="AE38" s="1095">
        <f t="shared" si="23"/>
        <v>0</v>
      </c>
      <c r="AF38" s="1095">
        <f t="shared" si="24"/>
        <v>0</v>
      </c>
      <c r="AG38" s="1096">
        <f t="shared" si="25"/>
        <v>10.630147746877906</v>
      </c>
      <c r="AH38" s="1094">
        <f t="shared" si="26"/>
        <v>7.8768612391973631</v>
      </c>
      <c r="AI38" s="1095">
        <f t="shared" si="27"/>
        <v>8.5301870170009053</v>
      </c>
      <c r="AJ38" s="1095">
        <f t="shared" si="28"/>
        <v>10.92350634297406</v>
      </c>
      <c r="AK38" s="1095">
        <f t="shared" si="29"/>
        <v>0</v>
      </c>
      <c r="AL38" s="1095">
        <f t="shared" si="30"/>
        <v>18.314707421534624</v>
      </c>
      <c r="AM38" s="1096">
        <f t="shared" si="31"/>
        <v>15.084186794591748</v>
      </c>
      <c r="AN38" s="1019">
        <v>2036</v>
      </c>
      <c r="AO38" s="1165">
        <f t="array" ref="AO38">1/SUMPRODUCT(IFERROR(1/V38:AA38,0),'Mkt Pen Veh-Mi'!B38:G38)</f>
        <v>9.2444046339697312</v>
      </c>
      <c r="AP38" s="1166">
        <f t="array" ref="AP38">1/SUMPRODUCT(IFERROR(1/AB38:AG38,0),'Mkt Pen Veh-Mi'!H38:M38)</f>
        <v>9.2088091729298274</v>
      </c>
      <c r="AQ38" s="1170">
        <f t="array" ref="AQ38">1/SUMPRODUCT(IFERROR(1/AH38:AM38,0),'Mkt Pen Veh-Mi'!N38:S38)</f>
        <v>9.2368145072724612</v>
      </c>
      <c r="AR38" s="1163">
        <v>2036</v>
      </c>
      <c r="AS38" s="1165">
        <f t="shared" si="32"/>
        <v>1.1437223685911884</v>
      </c>
      <c r="AT38" s="1166">
        <f t="shared" si="33"/>
        <v>1.2553683730415308</v>
      </c>
      <c r="AU38" s="1166">
        <f t="shared" si="34"/>
        <v>1.1726516726367615</v>
      </c>
      <c r="AV38" s="1170">
        <v>1.9033105938350969</v>
      </c>
    </row>
    <row r="39" spans="1:48" s="1019" customFormat="1" ht="15" x14ac:dyDescent="0.25">
      <c r="A39" s="1034">
        <v>2037</v>
      </c>
      <c r="B39" s="1088">
        <f>IF('Mkt Pen Veh-Mi'!B39=0,1,1/((1-Fuel2ShrbyTech!B40)/'Inputs 7&amp;8 Sleep'!$N52+Fuel2ShrbyTech!B40/'Inputs 7&amp;8 Sleep'!$T52))</f>
        <v>8.0946677445201622</v>
      </c>
      <c r="C39" s="1089">
        <f>IF('Mkt Pen Veh-Mi'!C39=0,1,1/((1-Fuel2ShrbyTech!C40)/'Inputs 7&amp;8 Sleep'!$O52+Fuel2ShrbyTech!C40/'Inputs 7&amp;8 Sleep'!$U52))</f>
        <v>8.989353852152453</v>
      </c>
      <c r="D39" s="1089">
        <f>IF('Mkt Pen Veh-Mi'!D39=0,1,1/((1-Fuel2ShrbyTech!D40)/'Inputs 7&amp;8 Sleep'!$P52+Fuel2ShrbyTech!D40/'Inputs 7&amp;8 Sleep'!$V52))</f>
        <v>9.8015012988152126</v>
      </c>
      <c r="E39" s="1089">
        <f>IF('Mkt Pen Veh-Mi'!E39=0,1,1/((1-Fuel2ShrbyTech!E40)/'Inputs 7&amp;8 Sleep'!$Q52+Fuel2ShrbyTech!E40/'Inputs 7&amp;8 Sleep'!$W52))</f>
        <v>1</v>
      </c>
      <c r="F39" s="1089">
        <f>IF('Mkt Pen Veh-Mi'!F39=0,1,1/((1-Fuel2ShrbyTech!F40)/'Inputs 7&amp;8 Sleep'!$R52+Fuel2ShrbyTech!F40/'Inputs 7&amp;8 Sleep'!$X52))</f>
        <v>1</v>
      </c>
      <c r="G39" s="1090">
        <f>IF('Mkt Pen Veh-Mi'!G39=0,1,1/((1-Fuel2ShrbyTech!G40)/'Inputs 7&amp;8 Sleep'!$S52+Fuel2ShrbyTech!G40/'Inputs 7&amp;8 Sleep'!$Y52))</f>
        <v>1</v>
      </c>
      <c r="H39" s="1088">
        <f>IF('Mkt Pen Veh-Mi'!H39=0,1,1/((1-Fuel2ShrbyTech!H40)/'Inputs 7&amp;8 Day'!$N52+Fuel2ShrbyTech!H40/'Inputs 7&amp;8 Day'!$T52))</f>
        <v>7.3359595682662686</v>
      </c>
      <c r="I39" s="1089">
        <f>IF('Mkt Pen Veh-Mi'!I39=0,1,1/((1-Fuel2ShrbyTech!I40)/'Inputs 7&amp;8 Day'!$O52+Fuel2ShrbyTech!I40/'Inputs 7&amp;8 Day'!$U52))</f>
        <v>9.9559932079334441</v>
      </c>
      <c r="J39" s="1089">
        <f>IF('Mkt Pen Veh-Mi'!J39=0,1,1/((1-Fuel2ShrbyTech!J40)/'Inputs 7&amp;8 Day'!$P52+Fuel2ShrbyTech!J40/'Inputs 7&amp;8 Day'!$V52))</f>
        <v>10.790766720513449</v>
      </c>
      <c r="K39" s="1089">
        <f>IF('Mkt Pen Veh-Mi'!K39=0,1,1/((1-Fuel2ShrbyTech!K40)/'Inputs 7&amp;8 Day'!$Q52+Fuel2ShrbyTech!K40/'Inputs 7&amp;8 Day'!$W52))</f>
        <v>1</v>
      </c>
      <c r="L39" s="1089">
        <f>IF('Mkt Pen Veh-Mi'!L39=0,1,1/((1-Fuel2ShrbyTech!L40)/'Inputs 7&amp;8 Day'!$R52+Fuel2ShrbyTech!L40/'Inputs 7&amp;8 Day'!$X52))</f>
        <v>1</v>
      </c>
      <c r="M39" s="1090">
        <f>IF('Mkt Pen Veh-Mi'!M39=0,1,1/((1-Fuel2ShrbyTech!M40)/'Inputs 7&amp;8 Day'!$S52+Fuel2ShrbyTech!M40/'Inputs 7&amp;8 Day'!$Y52))</f>
        <v>10.742975047058202</v>
      </c>
      <c r="N39" s="1088">
        <f>IF('Mkt Pen Veh-Mi'!N39=0,1,1/((1-Fuel2ShrbyTech!N40)/'Inputs 7&amp;8 SU'!$N52+Fuel2ShrbyTech!N40/'Inputs 7&amp;8 SU'!$T52))</f>
        <v>7.8780700934087857</v>
      </c>
      <c r="O39" s="1089">
        <f>IF('Mkt Pen Veh-Mi'!O39=0,1,1/((1-Fuel2ShrbyTech!O40)/'Inputs 7&amp;8 SU'!$O52+Fuel2ShrbyTech!O40/'Inputs 7&amp;8 SU'!$U52))</f>
        <v>8.5895164614461006</v>
      </c>
      <c r="P39" s="1089">
        <f>IF('Mkt Pen Veh-Mi'!P39=0,1,1/((1-Fuel2ShrbyTech!P40)/'Inputs 7&amp;8 SU'!$P52+Fuel2ShrbyTech!P40/'Inputs 7&amp;8 SU'!$V52))</f>
        <v>11.008408165801022</v>
      </c>
      <c r="Q39" s="1089">
        <f>IF('Mkt Pen Veh-Mi'!Q39=0,1,1/((1-Fuel2ShrbyTech!Q40)/'Inputs 7&amp;8 SU'!$Q52+Fuel2ShrbyTech!Q40/'Inputs 7&amp;8 SU'!$W52))</f>
        <v>1</v>
      </c>
      <c r="R39" s="1089">
        <f>IF('Mkt Pen Veh-Mi'!R39=0,1,1/((1-Fuel2ShrbyTech!R40)/'Inputs 7&amp;8 SU'!$R52+Fuel2ShrbyTech!R40/'Inputs 7&amp;8 SU'!$X52))</f>
        <v>18.451601815763365</v>
      </c>
      <c r="S39" s="1090">
        <f>IF('Mkt Pen Veh-Mi'!S39=0,1,1/((1-Fuel2ShrbyTech!S40)/'Inputs 7&amp;8 SU'!$S52+Fuel2ShrbyTech!S40/'Inputs 7&amp;8 SU'!$Y52))</f>
        <v>15.242993650237594</v>
      </c>
      <c r="U39" s="1034">
        <f t="shared" si="13"/>
        <v>2037</v>
      </c>
      <c r="V39" s="1088">
        <f t="shared" si="14"/>
        <v>8.0946677445201622</v>
      </c>
      <c r="W39" s="1089">
        <f t="shared" si="15"/>
        <v>8.989353852152453</v>
      </c>
      <c r="X39" s="1089">
        <f t="shared" si="16"/>
        <v>9.8015012988152126</v>
      </c>
      <c r="Y39" s="1089">
        <f t="shared" si="17"/>
        <v>0</v>
      </c>
      <c r="Z39" s="1089">
        <f t="shared" si="18"/>
        <v>0</v>
      </c>
      <c r="AA39" s="1090">
        <f t="shared" si="19"/>
        <v>0</v>
      </c>
      <c r="AB39" s="1088">
        <f t="shared" si="20"/>
        <v>7.3359595682662686</v>
      </c>
      <c r="AC39" s="1089">
        <f t="shared" si="21"/>
        <v>9.9559932079334441</v>
      </c>
      <c r="AD39" s="1089">
        <f t="shared" si="22"/>
        <v>10.790766720513449</v>
      </c>
      <c r="AE39" s="1089">
        <f t="shared" si="23"/>
        <v>0</v>
      </c>
      <c r="AF39" s="1089">
        <f t="shared" si="24"/>
        <v>0</v>
      </c>
      <c r="AG39" s="1090">
        <f t="shared" si="25"/>
        <v>10.742975047058202</v>
      </c>
      <c r="AH39" s="1088">
        <f t="shared" si="26"/>
        <v>7.8780700934087857</v>
      </c>
      <c r="AI39" s="1089">
        <f t="shared" si="27"/>
        <v>8.5895164614461006</v>
      </c>
      <c r="AJ39" s="1089">
        <f t="shared" si="28"/>
        <v>11.008408165801022</v>
      </c>
      <c r="AK39" s="1089">
        <f t="shared" si="29"/>
        <v>0</v>
      </c>
      <c r="AL39" s="1089">
        <f t="shared" si="30"/>
        <v>18.451601815763365</v>
      </c>
      <c r="AM39" s="1090">
        <f t="shared" si="31"/>
        <v>15.242993650237594</v>
      </c>
      <c r="AN39" s="1019">
        <v>2037</v>
      </c>
      <c r="AO39" s="1165">
        <f t="array" ref="AO39">1/SUMPRODUCT(IFERROR(1/V39:AA39,0),'Mkt Pen Veh-Mi'!B39:G39)</f>
        <v>9.310801088725924</v>
      </c>
      <c r="AP39" s="1166">
        <f t="array" ref="AP39">1/SUMPRODUCT(IFERROR(1/AB39:AG39,0),'Mkt Pen Veh-Mi'!H39:M39)</f>
        <v>9.264076461043949</v>
      </c>
      <c r="AQ39" s="1170">
        <f t="array" ref="AQ39">1/SUMPRODUCT(IFERROR(1/AH39:AM39,0),'Mkt Pen Veh-Mi'!N39:S39)</f>
        <v>9.2956245494100642</v>
      </c>
      <c r="AR39" s="1163">
        <v>2037</v>
      </c>
      <c r="AS39" s="1165">
        <f t="shared" si="32"/>
        <v>1.1502388217266912</v>
      </c>
      <c r="AT39" s="1166">
        <f t="shared" si="33"/>
        <v>1.2628309050554594</v>
      </c>
      <c r="AU39" s="1166">
        <f t="shared" si="34"/>
        <v>1.1799367661360718</v>
      </c>
      <c r="AV39" s="1170">
        <v>2.0330617296005014</v>
      </c>
    </row>
    <row r="40" spans="1:48" s="1019" customFormat="1" ht="15" x14ac:dyDescent="0.25">
      <c r="A40" s="1034">
        <v>2038</v>
      </c>
      <c r="B40" s="1088">
        <f>IF('Mkt Pen Veh-Mi'!B40=0,1,1/((1-Fuel2ShrbyTech!B41)/'Inputs 7&amp;8 Sleep'!$N53+Fuel2ShrbyTech!B41/'Inputs 7&amp;8 Sleep'!$T53))</f>
        <v>8.1005862254693923</v>
      </c>
      <c r="C40" s="1089">
        <f>IF('Mkt Pen Veh-Mi'!C40=0,1,1/((1-Fuel2ShrbyTech!C41)/'Inputs 7&amp;8 Sleep'!$O53+Fuel2ShrbyTech!C41/'Inputs 7&amp;8 Sleep'!$U53))</f>
        <v>9.0647522674385606</v>
      </c>
      <c r="D40" s="1089">
        <f>IF('Mkt Pen Veh-Mi'!D40=0,1,1/((1-Fuel2ShrbyTech!D41)/'Inputs 7&amp;8 Sleep'!$P53+Fuel2ShrbyTech!D41/'Inputs 7&amp;8 Sleep'!$V53))</f>
        <v>9.9281818132824782</v>
      </c>
      <c r="E40" s="1089">
        <f>IF('Mkt Pen Veh-Mi'!E40=0,1,1/((1-Fuel2ShrbyTech!E41)/'Inputs 7&amp;8 Sleep'!$Q53+Fuel2ShrbyTech!E41/'Inputs 7&amp;8 Sleep'!$W53))</f>
        <v>1</v>
      </c>
      <c r="F40" s="1089">
        <f>IF('Mkt Pen Veh-Mi'!F40=0,1,1/((1-Fuel2ShrbyTech!F41)/'Inputs 7&amp;8 Sleep'!$R53+Fuel2ShrbyTech!F41/'Inputs 7&amp;8 Sleep'!$X53))</f>
        <v>1</v>
      </c>
      <c r="G40" s="1090">
        <f>IF('Mkt Pen Veh-Mi'!G40=0,1,1/((1-Fuel2ShrbyTech!G41)/'Inputs 7&amp;8 Sleep'!$S53+Fuel2ShrbyTech!G41/'Inputs 7&amp;8 Sleep'!$Y53))</f>
        <v>1</v>
      </c>
      <c r="H40" s="1088">
        <f>IF('Mkt Pen Veh-Mi'!H40=0,1,1/((1-Fuel2ShrbyTech!H41)/'Inputs 7&amp;8 Day'!$N53+Fuel2ShrbyTech!H41/'Inputs 7&amp;8 Day'!$T53))</f>
        <v>7.3363757448995743</v>
      </c>
      <c r="I40" s="1089">
        <f>IF('Mkt Pen Veh-Mi'!I40=0,1,1/((1-Fuel2ShrbyTech!I41)/'Inputs 7&amp;8 Day'!$O53+Fuel2ShrbyTech!I41/'Inputs 7&amp;8 Day'!$U53))</f>
        <v>10.040920578725064</v>
      </c>
      <c r="J40" s="1089">
        <f>IF('Mkt Pen Veh-Mi'!J40=0,1,1/((1-Fuel2ShrbyTech!J41)/'Inputs 7&amp;8 Day'!$P53+Fuel2ShrbyTech!J41/'Inputs 7&amp;8 Day'!$V53))</f>
        <v>10.931307146451308</v>
      </c>
      <c r="K40" s="1089">
        <f>IF('Mkt Pen Veh-Mi'!K40=0,1,1/((1-Fuel2ShrbyTech!K41)/'Inputs 7&amp;8 Day'!$Q53+Fuel2ShrbyTech!K41/'Inputs 7&amp;8 Day'!$W53))</f>
        <v>1</v>
      </c>
      <c r="L40" s="1089">
        <f>IF('Mkt Pen Veh-Mi'!L40=0,1,1/((1-Fuel2ShrbyTech!L41)/'Inputs 7&amp;8 Day'!$R53+Fuel2ShrbyTech!L41/'Inputs 7&amp;8 Day'!$X53))</f>
        <v>1</v>
      </c>
      <c r="M40" s="1090">
        <f>IF('Mkt Pen Veh-Mi'!M40=0,1,1/((1-Fuel2ShrbyTech!M41)/'Inputs 7&amp;8 Day'!$S53+Fuel2ShrbyTech!M41/'Inputs 7&amp;8 Day'!$Y53))</f>
        <v>10.92477532045339</v>
      </c>
      <c r="N40" s="1088">
        <f>IF('Mkt Pen Veh-Mi'!N40=0,1,1/((1-Fuel2ShrbyTech!N41)/'Inputs 7&amp;8 SU'!$N53+Fuel2ShrbyTech!N41/'Inputs 7&amp;8 SU'!$T53))</f>
        <v>7.8790193478605959</v>
      </c>
      <c r="O40" s="1089">
        <f>IF('Mkt Pen Veh-Mi'!O40=0,1,1/((1-Fuel2ShrbyTech!O41)/'Inputs 7&amp;8 SU'!$O53+Fuel2ShrbyTech!O41/'Inputs 7&amp;8 SU'!$U53))</f>
        <v>8.6711118541047174</v>
      </c>
      <c r="P40" s="1089">
        <f>IF('Mkt Pen Veh-Mi'!P40=0,1,1/((1-Fuel2ShrbyTech!P41)/'Inputs 7&amp;8 SU'!$P53+Fuel2ShrbyTech!P41/'Inputs 7&amp;8 SU'!$V53))</f>
        <v>11.125173081363275</v>
      </c>
      <c r="Q40" s="1089">
        <f>IF('Mkt Pen Veh-Mi'!Q40=0,1,1/((1-Fuel2ShrbyTech!Q41)/'Inputs 7&amp;8 SU'!$Q53+Fuel2ShrbyTech!Q41/'Inputs 7&amp;8 SU'!$W53))</f>
        <v>1</v>
      </c>
      <c r="R40" s="1089">
        <f>IF('Mkt Pen Veh-Mi'!R40=0,1,1/((1-Fuel2ShrbyTech!R41)/'Inputs 7&amp;8 SU'!$R53+Fuel2ShrbyTech!R41/'Inputs 7&amp;8 SU'!$X53))</f>
        <v>18.639871770999093</v>
      </c>
      <c r="S40" s="1090">
        <f>IF('Mkt Pen Veh-Mi'!S40=0,1,1/((1-Fuel2ShrbyTech!S41)/'Inputs 7&amp;8 SU'!$S53+Fuel2ShrbyTech!S41/'Inputs 7&amp;8 SU'!$Y53))</f>
        <v>15.475966203276053</v>
      </c>
      <c r="U40" s="1034">
        <f t="shared" si="13"/>
        <v>2038</v>
      </c>
      <c r="V40" s="1088">
        <f t="shared" si="14"/>
        <v>8.1005862254693923</v>
      </c>
      <c r="W40" s="1089">
        <f t="shared" si="15"/>
        <v>9.0647522674385606</v>
      </c>
      <c r="X40" s="1089">
        <f t="shared" si="16"/>
        <v>9.9281818132824782</v>
      </c>
      <c r="Y40" s="1089">
        <f t="shared" si="17"/>
        <v>0</v>
      </c>
      <c r="Z40" s="1089">
        <f t="shared" si="18"/>
        <v>0</v>
      </c>
      <c r="AA40" s="1090">
        <f t="shared" si="19"/>
        <v>0</v>
      </c>
      <c r="AB40" s="1088">
        <f t="shared" si="20"/>
        <v>7.3363757448995743</v>
      </c>
      <c r="AC40" s="1089">
        <f t="shared" si="21"/>
        <v>10.040920578725064</v>
      </c>
      <c r="AD40" s="1089">
        <f t="shared" si="22"/>
        <v>10.931307146451308</v>
      </c>
      <c r="AE40" s="1089">
        <f t="shared" si="23"/>
        <v>0</v>
      </c>
      <c r="AF40" s="1089">
        <f t="shared" si="24"/>
        <v>0</v>
      </c>
      <c r="AG40" s="1090">
        <f t="shared" si="25"/>
        <v>10.92477532045339</v>
      </c>
      <c r="AH40" s="1088">
        <f t="shared" si="26"/>
        <v>7.8790193478605959</v>
      </c>
      <c r="AI40" s="1089">
        <f t="shared" si="27"/>
        <v>8.6711118541047174</v>
      </c>
      <c r="AJ40" s="1089">
        <f t="shared" si="28"/>
        <v>11.125173081363275</v>
      </c>
      <c r="AK40" s="1089">
        <f t="shared" si="29"/>
        <v>0</v>
      </c>
      <c r="AL40" s="1089">
        <f t="shared" si="30"/>
        <v>18.639871770999093</v>
      </c>
      <c r="AM40" s="1090">
        <f t="shared" si="31"/>
        <v>15.475966203276053</v>
      </c>
      <c r="AN40" s="1019">
        <v>2038</v>
      </c>
      <c r="AO40" s="1165">
        <f t="array" ref="AO40">1/SUMPRODUCT(IFERROR(1/V40:AA40,0),'Mkt Pen Veh-Mi'!B40:G40)</f>
        <v>9.4090356549348222</v>
      </c>
      <c r="AP40" s="1166">
        <f t="array" ref="AP40">1/SUMPRODUCT(IFERROR(1/AB40:AG40,0),'Mkt Pen Veh-Mi'!H40:M40)</f>
        <v>9.3590854467014282</v>
      </c>
      <c r="AQ40" s="1170">
        <f t="array" ref="AQ40">1/SUMPRODUCT(IFERROR(1/AH40:AM40,0),'Mkt Pen Veh-Mi'!N40:S40)</f>
        <v>9.3910550350745279</v>
      </c>
      <c r="AR40" s="1163">
        <v>2038</v>
      </c>
      <c r="AS40" s="1165">
        <f t="shared" si="32"/>
        <v>1.1615252764486945</v>
      </c>
      <c r="AT40" s="1166">
        <f t="shared" si="33"/>
        <v>1.2757096653900382</v>
      </c>
      <c r="AU40" s="1166">
        <f t="shared" si="34"/>
        <v>1.1919065838598935</v>
      </c>
      <c r="AV40" s="1170">
        <v>2.0837866625663999</v>
      </c>
    </row>
    <row r="41" spans="1:48" s="1019" customFormat="1" ht="15" x14ac:dyDescent="0.25">
      <c r="A41" s="1034">
        <v>2039</v>
      </c>
      <c r="B41" s="1088">
        <f>IF('Mkt Pen Veh-Mi'!B41=0,1,1/((1-Fuel2ShrbyTech!B42)/'Inputs 7&amp;8 Sleep'!$N54+Fuel2ShrbyTech!B42/'Inputs 7&amp;8 Sleep'!$T54))</f>
        <v>8.1041670415640823</v>
      </c>
      <c r="C41" s="1089">
        <f>IF('Mkt Pen Veh-Mi'!C41=0,1,1/((1-Fuel2ShrbyTech!C42)/'Inputs 7&amp;8 Sleep'!$O54+Fuel2ShrbyTech!C42/'Inputs 7&amp;8 Sleep'!$U54))</f>
        <v>9.1774297606659641</v>
      </c>
      <c r="D41" s="1089">
        <f>IF('Mkt Pen Veh-Mi'!D41=0,1,1/((1-Fuel2ShrbyTech!D42)/'Inputs 7&amp;8 Sleep'!$P54+Fuel2ShrbyTech!D42/'Inputs 7&amp;8 Sleep'!$V54))</f>
        <v>10.117496704805919</v>
      </c>
      <c r="E41" s="1089">
        <f>IF('Mkt Pen Veh-Mi'!E41=0,1,1/((1-Fuel2ShrbyTech!E42)/'Inputs 7&amp;8 Sleep'!$Q54+Fuel2ShrbyTech!E42/'Inputs 7&amp;8 Sleep'!$W54))</f>
        <v>1</v>
      </c>
      <c r="F41" s="1089">
        <f>IF('Mkt Pen Veh-Mi'!F41=0,1,1/((1-Fuel2ShrbyTech!F42)/'Inputs 7&amp;8 Sleep'!$R54+Fuel2ShrbyTech!F42/'Inputs 7&amp;8 Sleep'!$X54))</f>
        <v>1</v>
      </c>
      <c r="G41" s="1090">
        <f>IF('Mkt Pen Veh-Mi'!G41=0,1,1/((1-Fuel2ShrbyTech!G42)/'Inputs 7&amp;8 Sleep'!$S54+Fuel2ShrbyTech!G42/'Inputs 7&amp;8 Sleep'!$Y54))</f>
        <v>1</v>
      </c>
      <c r="H41" s="1088">
        <f>IF('Mkt Pen Veh-Mi'!H41=0,1,1/((1-Fuel2ShrbyTech!H42)/'Inputs 7&amp;8 Day'!$N54+Fuel2ShrbyTech!H42/'Inputs 7&amp;8 Day'!$T54))</f>
        <v>7.3367919215328783</v>
      </c>
      <c r="I41" s="1089">
        <f>IF('Mkt Pen Veh-Mi'!I41=0,1,1/((1-Fuel2ShrbyTech!I42)/'Inputs 7&amp;8 Day'!$O54+Fuel2ShrbyTech!I42/'Inputs 7&amp;8 Day'!$U54))</f>
        <v>10.167838408640739</v>
      </c>
      <c r="J41" s="1089">
        <f>IF('Mkt Pen Veh-Mi'!J41=0,1,1/((1-Fuel2ShrbyTech!J42)/'Inputs 7&amp;8 Day'!$P54+Fuel2ShrbyTech!J42/'Inputs 7&amp;8 Day'!$V54))</f>
        <v>11.141334675965002</v>
      </c>
      <c r="K41" s="1089">
        <f>IF('Mkt Pen Veh-Mi'!K41=0,1,1/((1-Fuel2ShrbyTech!K42)/'Inputs 7&amp;8 Day'!$Q54+Fuel2ShrbyTech!K42/'Inputs 7&amp;8 Day'!$W54))</f>
        <v>1</v>
      </c>
      <c r="L41" s="1089">
        <f>IF('Mkt Pen Veh-Mi'!L41=0,1,1/((1-Fuel2ShrbyTech!L42)/'Inputs 7&amp;8 Day'!$R54+Fuel2ShrbyTech!L42/'Inputs 7&amp;8 Day'!$X54))</f>
        <v>12.872126082389528</v>
      </c>
      <c r="M41" s="1090">
        <f>IF('Mkt Pen Veh-Mi'!M41=0,1,1/((1-Fuel2ShrbyTech!M42)/'Inputs 7&amp;8 Day'!$S54+Fuel2ShrbyTech!M42/'Inputs 7&amp;8 Day'!$Y54))</f>
        <v>11.201340098671983</v>
      </c>
      <c r="N41" s="1088">
        <f>IF('Mkt Pen Veh-Mi'!N41=0,1,1/((1-Fuel2ShrbyTech!N42)/'Inputs 7&amp;8 SU'!$N54+Fuel2ShrbyTech!N42/'Inputs 7&amp;8 SU'!$T54))</f>
        <v>7.8800990704038272</v>
      </c>
      <c r="O41" s="1089">
        <f>IF('Mkt Pen Veh-Mi'!O41=0,1,1/((1-Fuel2ShrbyTech!O42)/'Inputs 7&amp;8 SU'!$O54+Fuel2ShrbyTech!O42/'Inputs 7&amp;8 SU'!$U54))</f>
        <v>8.779578065385067</v>
      </c>
      <c r="P41" s="1089">
        <f>IF('Mkt Pen Veh-Mi'!P41=0,1,1/((1-Fuel2ShrbyTech!P42)/'Inputs 7&amp;8 SU'!$P54+Fuel2ShrbyTech!P42/'Inputs 7&amp;8 SU'!$V54))</f>
        <v>11.280390766931575</v>
      </c>
      <c r="Q41" s="1089">
        <f>IF('Mkt Pen Veh-Mi'!Q41=0,1,1/((1-Fuel2ShrbyTech!Q42)/'Inputs 7&amp;8 SU'!$Q54+Fuel2ShrbyTech!Q42/'Inputs 7&amp;8 SU'!$W54))</f>
        <v>1</v>
      </c>
      <c r="R41" s="1089">
        <f>IF('Mkt Pen Veh-Mi'!R41=0,1,1/((1-Fuel2ShrbyTech!R42)/'Inputs 7&amp;8 SU'!$R54+Fuel2ShrbyTech!R42/'Inputs 7&amp;8 SU'!$X54))</f>
        <v>18.890142381593236</v>
      </c>
      <c r="S41" s="1090">
        <f>IF('Mkt Pen Veh-Mi'!S41=0,1,1/((1-Fuel2ShrbyTech!S42)/'Inputs 7&amp;8 SU'!$S54+Fuel2ShrbyTech!S42/'Inputs 7&amp;8 SU'!$Y54))</f>
        <v>15.807566824284143</v>
      </c>
      <c r="U41" s="1034">
        <f t="shared" si="13"/>
        <v>2039</v>
      </c>
      <c r="V41" s="1088">
        <f t="shared" si="14"/>
        <v>8.1041670415640823</v>
      </c>
      <c r="W41" s="1089">
        <f t="shared" si="15"/>
        <v>9.1774297606659641</v>
      </c>
      <c r="X41" s="1089">
        <f t="shared" si="16"/>
        <v>10.117496704805919</v>
      </c>
      <c r="Y41" s="1089">
        <f t="shared" si="17"/>
        <v>0</v>
      </c>
      <c r="Z41" s="1089">
        <f t="shared" si="18"/>
        <v>0</v>
      </c>
      <c r="AA41" s="1090">
        <f t="shared" si="19"/>
        <v>0</v>
      </c>
      <c r="AB41" s="1088">
        <f t="shared" si="20"/>
        <v>7.3367919215328783</v>
      </c>
      <c r="AC41" s="1089">
        <f t="shared" si="21"/>
        <v>10.167838408640739</v>
      </c>
      <c r="AD41" s="1089">
        <f t="shared" si="22"/>
        <v>11.141334675965002</v>
      </c>
      <c r="AE41" s="1089">
        <f t="shared" si="23"/>
        <v>0</v>
      </c>
      <c r="AF41" s="1089">
        <f t="shared" si="24"/>
        <v>12.872126082389528</v>
      </c>
      <c r="AG41" s="1090">
        <f t="shared" si="25"/>
        <v>11.201340098671983</v>
      </c>
      <c r="AH41" s="1088">
        <f t="shared" si="26"/>
        <v>7.8800990704038272</v>
      </c>
      <c r="AI41" s="1089">
        <f t="shared" si="27"/>
        <v>8.779578065385067</v>
      </c>
      <c r="AJ41" s="1089">
        <f t="shared" si="28"/>
        <v>11.280390766931575</v>
      </c>
      <c r="AK41" s="1089">
        <f t="shared" si="29"/>
        <v>0</v>
      </c>
      <c r="AL41" s="1089">
        <f t="shared" si="30"/>
        <v>18.890142381593236</v>
      </c>
      <c r="AM41" s="1090">
        <f t="shared" si="31"/>
        <v>15.807566824284143</v>
      </c>
      <c r="AN41" s="1019">
        <v>2039</v>
      </c>
      <c r="AO41" s="1165">
        <f t="array" ref="AO41">1/SUMPRODUCT(IFERROR(1/V41:AA41,0),'Mkt Pen Veh-Mi'!B41:G41)</f>
        <v>9.5576370412863483</v>
      </c>
      <c r="AP41" s="1166">
        <f t="array" ref="AP41">1/SUMPRODUCT(IFERROR(1/AB41:AG41,0),'Mkt Pen Veh-Mi'!H41:M41)</f>
        <v>9.4910242138183118</v>
      </c>
      <c r="AQ41" s="1170">
        <f t="array" ref="AQ41">1/SUMPRODUCT(IFERROR(1/AH41:AM41,0),'Mkt Pen Veh-Mi'!N41:S41)</f>
        <v>9.5671828336627414</v>
      </c>
      <c r="AR41" s="1163">
        <v>2039</v>
      </c>
      <c r="AS41" s="1165">
        <f t="shared" si="32"/>
        <v>1.1793484749595871</v>
      </c>
      <c r="AT41" s="1166">
        <f t="shared" si="33"/>
        <v>1.2936204699990115</v>
      </c>
      <c r="AU41" s="1166">
        <f t="shared" si="34"/>
        <v>1.2140942325960449</v>
      </c>
      <c r="AV41" s="1170">
        <v>2.111395266587011</v>
      </c>
    </row>
    <row r="42" spans="1:48" s="1019" customFormat="1" ht="15" x14ac:dyDescent="0.25">
      <c r="A42" s="1040">
        <v>2040</v>
      </c>
      <c r="B42" s="1091">
        <f>IF('Mkt Pen Veh-Mi'!B42=0,1,1/((1-Fuel2ShrbyTech!B43)/'Inputs 7&amp;8 Sleep'!$N55+Fuel2ShrbyTech!B43/'Inputs 7&amp;8 Sleep'!$T55))</f>
        <v>8.1043325932001693</v>
      </c>
      <c r="C42" s="1092">
        <f>IF('Mkt Pen Veh-Mi'!C42=0,1,1/((1-Fuel2ShrbyTech!C43)/'Inputs 7&amp;8 Sleep'!$O55+Fuel2ShrbyTech!C43/'Inputs 7&amp;8 Sleep'!$U55))</f>
        <v>9.3370515457153527</v>
      </c>
      <c r="D42" s="1092">
        <f>IF('Mkt Pen Veh-Mi'!D42=0,1,1/((1-Fuel2ShrbyTech!D43)/'Inputs 7&amp;8 Sleep'!$P55+Fuel2ShrbyTech!D43/'Inputs 7&amp;8 Sleep'!$V55))</f>
        <v>10.385684965441218</v>
      </c>
      <c r="E42" s="1092">
        <f>IF('Mkt Pen Veh-Mi'!E42=0,1,1/((1-Fuel2ShrbyTech!E43)/'Inputs 7&amp;8 Sleep'!$Q55+Fuel2ShrbyTech!E43/'Inputs 7&amp;8 Sleep'!$W55))</f>
        <v>1</v>
      </c>
      <c r="F42" s="1092">
        <f>IF('Mkt Pen Veh-Mi'!F42=0,1,1/((1-Fuel2ShrbyTech!F43)/'Inputs 7&amp;8 Sleep'!$R55+Fuel2ShrbyTech!F43/'Inputs 7&amp;8 Sleep'!$X55))</f>
        <v>1</v>
      </c>
      <c r="G42" s="1093">
        <f>IF('Mkt Pen Veh-Mi'!G42=0,1,1/((1-Fuel2ShrbyTech!G43)/'Inputs 7&amp;8 Sleep'!$S55+Fuel2ShrbyTech!G43/'Inputs 7&amp;8 Sleep'!$Y55))</f>
        <v>1</v>
      </c>
      <c r="H42" s="1097">
        <f>IF('Mkt Pen Veh-Mi'!H42=0,1,1/((1-Fuel2ShrbyTech!H43)/'Inputs 7&amp;8 Day'!$N55+Fuel2ShrbyTech!H43/'Inputs 7&amp;8 Day'!$T55))</f>
        <v>7.3372080981661831</v>
      </c>
      <c r="I42" s="1098">
        <f>IF('Mkt Pen Veh-Mi'!I42=0,1,1/((1-Fuel2ShrbyTech!I43)/'Inputs 7&amp;8 Day'!$O55+Fuel2ShrbyTech!I43/'Inputs 7&amp;8 Day'!$U55))</f>
        <v>10.347633414595022</v>
      </c>
      <c r="J42" s="1098">
        <f>IF('Mkt Pen Veh-Mi'!J42=0,1,1/((1-Fuel2ShrbyTech!J43)/'Inputs 7&amp;8 Day'!$P55+Fuel2ShrbyTech!J43/'Inputs 7&amp;8 Day'!$V55))</f>
        <v>11.43886498312963</v>
      </c>
      <c r="K42" s="1098">
        <f>IF('Mkt Pen Veh-Mi'!K42=0,1,1/((1-Fuel2ShrbyTech!K43)/'Inputs 7&amp;8 Day'!$Q55+Fuel2ShrbyTech!K43/'Inputs 7&amp;8 Day'!$W55))</f>
        <v>1</v>
      </c>
      <c r="L42" s="1098">
        <f>IF('Mkt Pen Veh-Mi'!L42=0,1,1/((1-Fuel2ShrbyTech!L43)/'Inputs 7&amp;8 Day'!$R55+Fuel2ShrbyTech!L43/'Inputs 7&amp;8 Day'!$X55))</f>
        <v>13.256042984726385</v>
      </c>
      <c r="M42" s="1099">
        <f>IF('Mkt Pen Veh-Mi'!M42=0,1,1/((1-Fuel2ShrbyTech!M43)/'Inputs 7&amp;8 Day'!$S55+Fuel2ShrbyTech!M43/'Inputs 7&amp;8 Day'!$Y55))</f>
        <v>11.618922070468454</v>
      </c>
      <c r="N42" s="1088">
        <f>IF('Mkt Pen Veh-Mi'!N42=0,1,1/((1-Fuel2ShrbyTech!N43)/'Inputs 7&amp;8 SU'!$N55+Fuel2ShrbyTech!N43/'Inputs 7&amp;8 SU'!$T55))</f>
        <v>7.8815296451121526</v>
      </c>
      <c r="O42" s="1098">
        <f>IF('Mkt Pen Veh-Mi'!O42=0,1,1/((1-Fuel2ShrbyTech!O43)/'Inputs 7&amp;8 SU'!$O55+Fuel2ShrbyTech!O43/'Inputs 7&amp;8 SU'!$U55))</f>
        <v>8.917426479188336</v>
      </c>
      <c r="P42" s="1098">
        <f>IF('Mkt Pen Veh-Mi'!P42=0,1,1/((1-Fuel2ShrbyTech!P43)/'Inputs 7&amp;8 SU'!$P55+Fuel2ShrbyTech!P43/'Inputs 7&amp;8 SU'!$V55))</f>
        <v>11.477655071614461</v>
      </c>
      <c r="Q42" s="1098">
        <f>IF('Mkt Pen Veh-Mi'!Q42=0,1,1/((1-Fuel2ShrbyTech!Q43)/'Inputs 7&amp;8 SU'!$Q55+Fuel2ShrbyTech!Q43/'Inputs 7&amp;8 SU'!$W55))</f>
        <v>1</v>
      </c>
      <c r="R42" s="1098">
        <f>IF('Mkt Pen Veh-Mi'!R42=0,1,1/((1-Fuel2ShrbyTech!R43)/'Inputs 7&amp;8 SU'!$R55+Fuel2ShrbyTech!R43/'Inputs 7&amp;8 SU'!$X55))</f>
        <v>19.208208314612769</v>
      </c>
      <c r="S42" s="1099">
        <f>IF('Mkt Pen Veh-Mi'!S42=0,1,1/((1-Fuel2ShrbyTech!S43)/'Inputs 7&amp;8 SU'!$S55+Fuel2ShrbyTech!S43/'Inputs 7&amp;8 SU'!$Y55))</f>
        <v>16.255327627806967</v>
      </c>
      <c r="U42" s="1040">
        <f t="shared" si="13"/>
        <v>2040</v>
      </c>
      <c r="V42" s="1091">
        <f t="shared" si="14"/>
        <v>8.1043325932001693</v>
      </c>
      <c r="W42" s="1092">
        <f t="shared" si="15"/>
        <v>9.3370515457153527</v>
      </c>
      <c r="X42" s="1092">
        <f t="shared" si="16"/>
        <v>10.385684965441218</v>
      </c>
      <c r="Y42" s="1092">
        <f t="shared" si="17"/>
        <v>0</v>
      </c>
      <c r="Z42" s="1092">
        <f t="shared" si="18"/>
        <v>0</v>
      </c>
      <c r="AA42" s="1093">
        <f t="shared" si="19"/>
        <v>0</v>
      </c>
      <c r="AB42" s="1097">
        <f t="shared" si="20"/>
        <v>7.3372080981661831</v>
      </c>
      <c r="AC42" s="1098">
        <f t="shared" si="21"/>
        <v>10.347633414595022</v>
      </c>
      <c r="AD42" s="1098">
        <f t="shared" si="22"/>
        <v>11.43886498312963</v>
      </c>
      <c r="AE42" s="1098">
        <f t="shared" si="23"/>
        <v>0</v>
      </c>
      <c r="AF42" s="1098">
        <f t="shared" si="24"/>
        <v>13.256042984726385</v>
      </c>
      <c r="AG42" s="1099">
        <f t="shared" si="25"/>
        <v>11.618922070468454</v>
      </c>
      <c r="AH42" s="1088">
        <f t="shared" si="26"/>
        <v>7.8815296451121526</v>
      </c>
      <c r="AI42" s="1098">
        <f t="shared" si="27"/>
        <v>8.917426479188336</v>
      </c>
      <c r="AJ42" s="1098">
        <f t="shared" si="28"/>
        <v>11.477655071614461</v>
      </c>
      <c r="AK42" s="1098">
        <f t="shared" si="29"/>
        <v>0</v>
      </c>
      <c r="AL42" s="1098">
        <f t="shared" si="30"/>
        <v>19.208208314612769</v>
      </c>
      <c r="AM42" s="1099">
        <f t="shared" si="31"/>
        <v>16.255327627806967</v>
      </c>
      <c r="AN42" s="1019">
        <v>2040</v>
      </c>
      <c r="AO42" s="1165">
        <f t="array" ref="AO42">1/SUMPRODUCT(IFERROR(1/V42:AA42,0),'Mkt Pen Veh-Mi'!B42:G42)</f>
        <v>9.7629852141083902</v>
      </c>
      <c r="AP42" s="1166">
        <f t="array" ref="AP42">1/SUMPRODUCT(IFERROR(1/AB42:AG42,0),'Mkt Pen Veh-Mi'!H42:M42)</f>
        <v>9.6520008377557645</v>
      </c>
      <c r="AQ42" s="1170">
        <f t="array" ref="AQ42">1/SUMPRODUCT(IFERROR(1/AH42:AM42,0),'Mkt Pen Veh-Mi'!N42:S42)</f>
        <v>9.8007001929133164</v>
      </c>
      <c r="AR42" s="1163">
        <v>2040</v>
      </c>
      <c r="AS42" s="1165">
        <f t="shared" si="32"/>
        <v>1.2046624570047744</v>
      </c>
      <c r="AT42" s="1166">
        <f t="shared" si="33"/>
        <v>1.3154868593911253</v>
      </c>
      <c r="AU42" s="1166">
        <f t="shared" si="34"/>
        <v>1.2435022938715159</v>
      </c>
      <c r="AV42" s="1170">
        <v>2.1489389429026087</v>
      </c>
    </row>
    <row r="43" spans="1:48" s="1019" customFormat="1" ht="15" x14ac:dyDescent="0.25">
      <c r="A43" s="1034">
        <v>2041</v>
      </c>
      <c r="B43" s="1094">
        <f>IF('Mkt Pen Veh-Mi'!B43=0,1,1/((1-Fuel2ShrbyTech!B44)/'Inputs 7&amp;8 Sleep'!$N56+Fuel2ShrbyTech!B44/'Inputs 7&amp;8 Sleep'!$T56))</f>
        <v>8.1043630004564644</v>
      </c>
      <c r="C43" s="1095">
        <f>IF('Mkt Pen Veh-Mi'!C43=0,1,1/((1-Fuel2ShrbyTech!C44)/'Inputs 7&amp;8 Sleep'!$O56+Fuel2ShrbyTech!C44/'Inputs 7&amp;8 Sleep'!$U56))</f>
        <v>9.546852725185925</v>
      </c>
      <c r="D43" s="1095">
        <f>IF('Mkt Pen Veh-Mi'!D43=0,1,1/((1-Fuel2ShrbyTech!D44)/'Inputs 7&amp;8 Sleep'!$P56+Fuel2ShrbyTech!D44/'Inputs 7&amp;8 Sleep'!$V56))</f>
        <v>10.738182047114865</v>
      </c>
      <c r="E43" s="1095">
        <f>IF('Mkt Pen Veh-Mi'!E43=0,1,1/((1-Fuel2ShrbyTech!E44)/'Inputs 7&amp;8 Sleep'!$Q56+Fuel2ShrbyTech!E44/'Inputs 7&amp;8 Sleep'!$W56))</f>
        <v>1</v>
      </c>
      <c r="F43" s="1095">
        <f>IF('Mkt Pen Veh-Mi'!F43=0,1,1/((1-Fuel2ShrbyTech!F44)/'Inputs 7&amp;8 Sleep'!$R56+Fuel2ShrbyTech!F44/'Inputs 7&amp;8 Sleep'!$X56))</f>
        <v>1</v>
      </c>
      <c r="G43" s="1096">
        <f>IF('Mkt Pen Veh-Mi'!G43=0,1,1/((1-Fuel2ShrbyTech!G44)/'Inputs 7&amp;8 Sleep'!$S56+Fuel2ShrbyTech!G44/'Inputs 7&amp;8 Sleep'!$Y56))</f>
        <v>1</v>
      </c>
      <c r="H43" s="1094">
        <f>IF('Mkt Pen Veh-Mi'!H43=0,1,1/((1-Fuel2ShrbyTech!H44)/'Inputs 7&amp;8 Day'!$N56+Fuel2ShrbyTech!H44/'Inputs 7&amp;8 Day'!$T56))</f>
        <v>7.337624274799488</v>
      </c>
      <c r="I43" s="1095">
        <f>IF('Mkt Pen Veh-Mi'!I43=0,1,1/((1-Fuel2ShrbyTech!I44)/'Inputs 7&amp;8 Day'!$O56+Fuel2ShrbyTech!I44/'Inputs 7&amp;8 Day'!$U56))</f>
        <v>10.583949555906539</v>
      </c>
      <c r="J43" s="1095">
        <f>IF('Mkt Pen Veh-Mi'!J43=0,1,1/((1-Fuel2ShrbyTech!J44)/'Inputs 7&amp;8 Day'!$P56+Fuel2ShrbyTech!J44/'Inputs 7&amp;8 Day'!$V56))</f>
        <v>11.82992820393039</v>
      </c>
      <c r="K43" s="1095">
        <f>IF('Mkt Pen Veh-Mi'!K43=0,1,1/((1-Fuel2ShrbyTech!K44)/'Inputs 7&amp;8 Day'!$Q56+Fuel2ShrbyTech!K44/'Inputs 7&amp;8 Day'!$W56))</f>
        <v>1</v>
      </c>
      <c r="L43" s="1095">
        <f>IF('Mkt Pen Veh-Mi'!L43=0,1,1/((1-Fuel2ShrbyTech!L44)/'Inputs 7&amp;8 Day'!$R56+Fuel2ShrbyTech!L44/'Inputs 7&amp;8 Day'!$X56))</f>
        <v>13.760649664222166</v>
      </c>
      <c r="M43" s="1096">
        <f>IF('Mkt Pen Veh-Mi'!M43=0,1,1/((1-Fuel2ShrbyTech!M44)/'Inputs 7&amp;8 Day'!$S56+Fuel2ShrbyTech!M44/'Inputs 7&amp;8 Day'!$Y56))</f>
        <v>12.218343594125198</v>
      </c>
      <c r="N43" s="1094">
        <f>IF('Mkt Pen Veh-Mi'!N43=0,1,1/((1-Fuel2ShrbyTech!N44)/'Inputs 7&amp;8 SU'!$N56+Fuel2ShrbyTech!N44/'Inputs 7&amp;8 SU'!$T56))</f>
        <v>7.8832558955587544</v>
      </c>
      <c r="O43" s="1095">
        <f>IF('Mkt Pen Veh-Mi'!O43=0,1,1/((1-Fuel2ShrbyTech!O44)/'Inputs 7&amp;8 SU'!$O56+Fuel2ShrbyTech!O44/'Inputs 7&amp;8 SU'!$U56))</f>
        <v>9.082945164420595</v>
      </c>
      <c r="P43" s="1095">
        <f>IF('Mkt Pen Veh-Mi'!P43=0,1,1/((1-Fuel2ShrbyTech!P44)/'Inputs 7&amp;8 SU'!$P56+Fuel2ShrbyTech!P44/'Inputs 7&amp;8 SU'!$V56))</f>
        <v>11.714516181971264</v>
      </c>
      <c r="Q43" s="1095">
        <f>IF('Mkt Pen Veh-Mi'!Q43=0,1,1/((1-Fuel2ShrbyTech!Q44)/'Inputs 7&amp;8 SU'!$Q56+Fuel2ShrbyTech!Q44/'Inputs 7&amp;8 SU'!$W56))</f>
        <v>1</v>
      </c>
      <c r="R43" s="1095">
        <f>IF('Mkt Pen Veh-Mi'!R43=0,1,1/((1-Fuel2ShrbyTech!R44)/'Inputs 7&amp;8 SU'!$R56+Fuel2ShrbyTech!R44/'Inputs 7&amp;8 SU'!$X56))</f>
        <v>19.59011952851835</v>
      </c>
      <c r="S43" s="1096">
        <f>IF('Mkt Pen Veh-Mi'!S43=0,1,1/((1-Fuel2ShrbyTech!S44)/'Inputs 7&amp;8 SU'!$S56+Fuel2ShrbyTech!S44/'Inputs 7&amp;8 SU'!$Y56))</f>
        <v>16.912146362464043</v>
      </c>
      <c r="U43" s="1034">
        <f t="shared" si="13"/>
        <v>2041</v>
      </c>
      <c r="V43" s="1094">
        <f t="shared" si="14"/>
        <v>8.1043630004564644</v>
      </c>
      <c r="W43" s="1095">
        <f t="shared" si="15"/>
        <v>9.546852725185925</v>
      </c>
      <c r="X43" s="1095">
        <f t="shared" si="16"/>
        <v>10.738182047114865</v>
      </c>
      <c r="Y43" s="1095">
        <f t="shared" si="17"/>
        <v>0</v>
      </c>
      <c r="Z43" s="1095">
        <f t="shared" si="18"/>
        <v>0</v>
      </c>
      <c r="AA43" s="1096">
        <f t="shared" si="19"/>
        <v>0</v>
      </c>
      <c r="AB43" s="1094">
        <f t="shared" si="20"/>
        <v>7.337624274799488</v>
      </c>
      <c r="AC43" s="1095">
        <f t="shared" si="21"/>
        <v>10.583949555906539</v>
      </c>
      <c r="AD43" s="1095">
        <f t="shared" si="22"/>
        <v>11.82992820393039</v>
      </c>
      <c r="AE43" s="1095">
        <f t="shared" si="23"/>
        <v>0</v>
      </c>
      <c r="AF43" s="1095">
        <f t="shared" si="24"/>
        <v>13.760649664222166</v>
      </c>
      <c r="AG43" s="1096">
        <f t="shared" si="25"/>
        <v>12.218343594125198</v>
      </c>
      <c r="AH43" s="1094">
        <f t="shared" si="26"/>
        <v>7.8832558955587544</v>
      </c>
      <c r="AI43" s="1095">
        <f t="shared" si="27"/>
        <v>9.082945164420595</v>
      </c>
      <c r="AJ43" s="1095">
        <f t="shared" si="28"/>
        <v>11.714516181971264</v>
      </c>
      <c r="AK43" s="1095">
        <f t="shared" si="29"/>
        <v>0</v>
      </c>
      <c r="AL43" s="1095">
        <f t="shared" si="30"/>
        <v>19.59011952851835</v>
      </c>
      <c r="AM43" s="1096">
        <f t="shared" si="31"/>
        <v>16.912146362464043</v>
      </c>
      <c r="AN43" s="1019">
        <v>2041</v>
      </c>
      <c r="AO43" s="1165">
        <f t="array" ref="AO43">1/SUMPRODUCT(IFERROR(1/V43:AA43,0),'Mkt Pen Veh-Mi'!B43:G43)</f>
        <v>10.033649781066456</v>
      </c>
      <c r="AP43" s="1166">
        <f t="array" ref="AP43">1/SUMPRODUCT(IFERROR(1/AB43:AG43,0),'Mkt Pen Veh-Mi'!H43:M43)</f>
        <v>9.8805172455786323</v>
      </c>
      <c r="AQ43" s="1170">
        <f t="array" ref="AQ43">1/SUMPRODUCT(IFERROR(1/AH43:AM43,0),'Mkt Pen Veh-Mi'!N43:S43)</f>
        <v>10.134574239494922</v>
      </c>
      <c r="AR43" s="1163">
        <v>2041</v>
      </c>
      <c r="AS43" s="1165">
        <f t="shared" si="32"/>
        <v>1.2380553265569827</v>
      </c>
      <c r="AT43" s="1166">
        <f t="shared" si="33"/>
        <v>1.3465553530060836</v>
      </c>
      <c r="AU43" s="1166">
        <f t="shared" si="34"/>
        <v>1.2855822992127541</v>
      </c>
      <c r="AV43" s="1170">
        <v>2.1717496436120078</v>
      </c>
    </row>
    <row r="44" spans="1:48" s="1019" customFormat="1" ht="15" x14ac:dyDescent="0.25">
      <c r="A44" s="1034">
        <v>2042</v>
      </c>
      <c r="B44" s="1088">
        <f>IF('Mkt Pen Veh-Mi'!B44=0,1,1/((1-Fuel2ShrbyTech!B45)/'Inputs 7&amp;8 Sleep'!$N57+Fuel2ShrbyTech!B45/'Inputs 7&amp;8 Sleep'!$T57))</f>
        <v>8.1043847804208973</v>
      </c>
      <c r="C44" s="1089">
        <f>IF('Mkt Pen Veh-Mi'!C44=0,1,1/((1-Fuel2ShrbyTech!C45)/'Inputs 7&amp;8 Sleep'!$O57+Fuel2ShrbyTech!C45/'Inputs 7&amp;8 Sleep'!$U57))</f>
        <v>9.7970250499081164</v>
      </c>
      <c r="D44" s="1089">
        <f>IF('Mkt Pen Veh-Mi'!D44=0,1,1/((1-Fuel2ShrbyTech!D45)/'Inputs 7&amp;8 Sleep'!$P57+Fuel2ShrbyTech!D45/'Inputs 7&amp;8 Sleep'!$V57))</f>
        <v>11.158508637282834</v>
      </c>
      <c r="E44" s="1089">
        <f>IF('Mkt Pen Veh-Mi'!E44=0,1,1/((1-Fuel2ShrbyTech!E45)/'Inputs 7&amp;8 Sleep'!$Q57+Fuel2ShrbyTech!E45/'Inputs 7&amp;8 Sleep'!$W57))</f>
        <v>1</v>
      </c>
      <c r="F44" s="1089">
        <f>IF('Mkt Pen Veh-Mi'!F44=0,1,1/((1-Fuel2ShrbyTech!F45)/'Inputs 7&amp;8 Sleep'!$R57+Fuel2ShrbyTech!F45/'Inputs 7&amp;8 Sleep'!$X57))</f>
        <v>12.852650244566508</v>
      </c>
      <c r="G44" s="1090">
        <f>IF('Mkt Pen Veh-Mi'!G44=0,1,1/((1-Fuel2ShrbyTech!G45)/'Inputs 7&amp;8 Sleep'!$S57+Fuel2ShrbyTech!G45/'Inputs 7&amp;8 Sleep'!$Y57))</f>
        <v>12.116230807844763</v>
      </c>
      <c r="H44" s="1088">
        <f>IF('Mkt Pen Veh-Mi'!H44=0,1,1/((1-Fuel2ShrbyTech!H45)/'Inputs 7&amp;8 Day'!$N57+Fuel2ShrbyTech!H45/'Inputs 7&amp;8 Day'!$T57))</f>
        <v>7.3380404514327928</v>
      </c>
      <c r="I44" s="1089">
        <f>IF('Mkt Pen Veh-Mi'!I44=0,1,1/((1-Fuel2ShrbyTech!I45)/'Inputs 7&amp;8 Day'!$O57+Fuel2ShrbyTech!I45/'Inputs 7&amp;8 Day'!$U57))</f>
        <v>10.865739003375166</v>
      </c>
      <c r="J44" s="1089">
        <f>IF('Mkt Pen Veh-Mi'!J44=0,1,1/((1-Fuel2ShrbyTech!J45)/'Inputs 7&amp;8 Day'!$P57+Fuel2ShrbyTech!J45/'Inputs 7&amp;8 Day'!$V57))</f>
        <v>12.296242050725494</v>
      </c>
      <c r="K44" s="1089">
        <f>IF('Mkt Pen Veh-Mi'!K44=0,1,1/((1-Fuel2ShrbyTech!K45)/'Inputs 7&amp;8 Day'!$Q57+Fuel2ShrbyTech!K45/'Inputs 7&amp;8 Day'!$W57))</f>
        <v>1</v>
      </c>
      <c r="L44" s="1089">
        <f>IF('Mkt Pen Veh-Mi'!L44=0,1,1/((1-Fuel2ShrbyTech!L45)/'Inputs 7&amp;8 Day'!$R57+Fuel2ShrbyTech!L45/'Inputs 7&amp;8 Day'!$X57))</f>
        <v>14.362355652712619</v>
      </c>
      <c r="M44" s="1090">
        <f>IF('Mkt Pen Veh-Mi'!M44=0,1,1/((1-Fuel2ShrbyTech!M45)/'Inputs 7&amp;8 Day'!$S57+Fuel2ShrbyTech!M45/'Inputs 7&amp;8 Day'!$Y57))</f>
        <v>12.996923002491954</v>
      </c>
      <c r="N44" s="1088">
        <f>IF('Mkt Pen Veh-Mi'!N44=0,1,1/((1-Fuel2ShrbyTech!N45)/'Inputs 7&amp;8 SU'!$N57+Fuel2ShrbyTech!N45/'Inputs 7&amp;8 SU'!$T57))</f>
        <v>7.8853279467657593</v>
      </c>
      <c r="O44" s="1089">
        <f>IF('Mkt Pen Veh-Mi'!O44=0,1,1/((1-Fuel2ShrbyTech!O45)/'Inputs 7&amp;8 SU'!$O57+Fuel2ShrbyTech!O45/'Inputs 7&amp;8 SU'!$U57))</f>
        <v>9.2686589884296851</v>
      </c>
      <c r="P44" s="1089">
        <f>IF('Mkt Pen Veh-Mi'!P44=0,1,1/((1-Fuel2ShrbyTech!P45)/'Inputs 7&amp;8 SU'!$P57+Fuel2ShrbyTech!P45/'Inputs 7&amp;8 SU'!$V57))</f>
        <v>11.980277008319513</v>
      </c>
      <c r="Q44" s="1089">
        <f>IF('Mkt Pen Veh-Mi'!Q44=0,1,1/((1-Fuel2ShrbyTech!Q45)/'Inputs 7&amp;8 SU'!$Q57+Fuel2ShrbyTech!Q45/'Inputs 7&amp;8 SU'!$W57))</f>
        <v>1</v>
      </c>
      <c r="R44" s="1089">
        <f>IF('Mkt Pen Veh-Mi'!R44=0,1,1/((1-Fuel2ShrbyTech!R45)/'Inputs 7&amp;8 SU'!$R57+Fuel2ShrbyTech!R45/'Inputs 7&amp;8 SU'!$X57))</f>
        <v>20.018628200314726</v>
      </c>
      <c r="S44" s="1090">
        <f>IF('Mkt Pen Veh-Mi'!S44=0,1,1/((1-Fuel2ShrbyTech!S45)/'Inputs 7&amp;8 SU'!$S57+Fuel2ShrbyTech!S45/'Inputs 7&amp;8 SU'!$Y57))</f>
        <v>17.810353937384928</v>
      </c>
      <c r="U44" s="1034">
        <f t="shared" si="13"/>
        <v>2042</v>
      </c>
      <c r="V44" s="1088">
        <f t="shared" si="14"/>
        <v>8.1043847804208973</v>
      </c>
      <c r="W44" s="1089">
        <f t="shared" si="15"/>
        <v>9.7970250499081164</v>
      </c>
      <c r="X44" s="1089">
        <f t="shared" si="16"/>
        <v>11.158508637282834</v>
      </c>
      <c r="Y44" s="1089">
        <f t="shared" si="17"/>
        <v>0</v>
      </c>
      <c r="Z44" s="1089">
        <f t="shared" si="18"/>
        <v>12.852650244566508</v>
      </c>
      <c r="AA44" s="1090">
        <f t="shared" si="19"/>
        <v>12.116230807844763</v>
      </c>
      <c r="AB44" s="1088">
        <f t="shared" si="20"/>
        <v>7.3380404514327928</v>
      </c>
      <c r="AC44" s="1089">
        <f t="shared" si="21"/>
        <v>10.865739003375166</v>
      </c>
      <c r="AD44" s="1089">
        <f t="shared" si="22"/>
        <v>12.296242050725494</v>
      </c>
      <c r="AE44" s="1089">
        <f t="shared" si="23"/>
        <v>0</v>
      </c>
      <c r="AF44" s="1089">
        <f t="shared" si="24"/>
        <v>14.362355652712619</v>
      </c>
      <c r="AG44" s="1090">
        <f t="shared" si="25"/>
        <v>12.996923002491954</v>
      </c>
      <c r="AH44" s="1088">
        <f t="shared" si="26"/>
        <v>7.8853279467657593</v>
      </c>
      <c r="AI44" s="1089">
        <f t="shared" si="27"/>
        <v>9.2686589884296851</v>
      </c>
      <c r="AJ44" s="1089">
        <f t="shared" si="28"/>
        <v>11.980277008319513</v>
      </c>
      <c r="AK44" s="1089">
        <f t="shared" si="29"/>
        <v>0</v>
      </c>
      <c r="AL44" s="1089">
        <f t="shared" si="30"/>
        <v>20.018628200314726</v>
      </c>
      <c r="AM44" s="1090">
        <f t="shared" si="31"/>
        <v>17.810353937384928</v>
      </c>
      <c r="AN44" s="1019">
        <v>2042</v>
      </c>
      <c r="AO44" s="1165">
        <f t="array" ref="AO44">1/SUMPRODUCT(IFERROR(1/V44:AA44,0),'Mkt Pen Veh-Mi'!B44:G44)</f>
        <v>10.349490892544207</v>
      </c>
      <c r="AP44" s="1166">
        <f t="array" ref="AP44">1/SUMPRODUCT(IFERROR(1/AB44:AG44,0),'Mkt Pen Veh-Mi'!H44:M44)</f>
        <v>10.20523671034406</v>
      </c>
      <c r="AQ44" s="1170">
        <f t="array" ref="AQ44">1/SUMPRODUCT(IFERROR(1/AH44:AM44,0),'Mkt Pen Veh-Mi'!N44:S44)</f>
        <v>10.566186538031129</v>
      </c>
      <c r="AR44" s="1163">
        <v>2042</v>
      </c>
      <c r="AS44" s="1165">
        <f t="shared" si="32"/>
        <v>1.2770236326324464</v>
      </c>
      <c r="AT44" s="1166">
        <f t="shared" si="33"/>
        <v>1.3907305060374029</v>
      </c>
      <c r="AU44" s="1166">
        <f t="shared" si="34"/>
        <v>1.3399806082085588</v>
      </c>
      <c r="AV44" s="1170">
        <v>2.1924471877980629</v>
      </c>
    </row>
    <row r="45" spans="1:48" s="1019" customFormat="1" ht="15" x14ac:dyDescent="0.25">
      <c r="A45" s="1034">
        <v>2043</v>
      </c>
      <c r="B45" s="1088">
        <f>IF('Mkt Pen Veh-Mi'!B45=0,1,1/((1-Fuel2ShrbyTech!B46)/'Inputs 7&amp;8 Sleep'!$N58+Fuel2ShrbyTech!B46/'Inputs 7&amp;8 Sleep'!$T58))</f>
        <v>8.1044016873015927</v>
      </c>
      <c r="C45" s="1089">
        <f>IF('Mkt Pen Veh-Mi'!C45=0,1,1/((1-Fuel2ShrbyTech!C46)/'Inputs 7&amp;8 Sleep'!$O58+Fuel2ShrbyTech!C46/'Inputs 7&amp;8 Sleep'!$U58))</f>
        <v>10.062914751077511</v>
      </c>
      <c r="D45" s="1089">
        <f>IF('Mkt Pen Veh-Mi'!D45=0,1,1/((1-Fuel2ShrbyTech!D46)/'Inputs 7&amp;8 Sleep'!$P58+Fuel2ShrbyTech!D46/'Inputs 7&amp;8 Sleep'!$V58))</f>
        <v>11.605242749768772</v>
      </c>
      <c r="E45" s="1089">
        <f>IF('Mkt Pen Veh-Mi'!E45=0,1,1/((1-Fuel2ShrbyTech!E46)/'Inputs 7&amp;8 Sleep'!$Q58+Fuel2ShrbyTech!E46/'Inputs 7&amp;8 Sleep'!$W58))</f>
        <v>1</v>
      </c>
      <c r="F45" s="1089">
        <f>IF('Mkt Pen Veh-Mi'!F45=0,1,1/((1-Fuel2ShrbyTech!F46)/'Inputs 7&amp;8 Sleep'!$R58+Fuel2ShrbyTech!F46/'Inputs 7&amp;8 Sleep'!$X58))</f>
        <v>13.44567676692802</v>
      </c>
      <c r="G45" s="1090">
        <f>IF('Mkt Pen Veh-Mi'!G45=0,1,1/((1-Fuel2ShrbyTech!G46)/'Inputs 7&amp;8 Sleep'!$S58+Fuel2ShrbyTech!G46/'Inputs 7&amp;8 Sleep'!$Y58))</f>
        <v>12.811222139222721</v>
      </c>
      <c r="H45" s="1088">
        <f>IF('Mkt Pen Veh-Mi'!H45=0,1,1/((1-Fuel2ShrbyTech!H46)/'Inputs 7&amp;8 Day'!$N58+Fuel2ShrbyTech!H46/'Inputs 7&amp;8 Day'!$T58))</f>
        <v>7.3384566280660994</v>
      </c>
      <c r="I45" s="1089">
        <f>IF('Mkt Pen Veh-Mi'!I45=0,1,1/((1-Fuel2ShrbyTech!I46)/'Inputs 7&amp;8 Day'!$O58+Fuel2ShrbyTech!I46/'Inputs 7&amp;8 Day'!$U58))</f>
        <v>11.165232210960475</v>
      </c>
      <c r="J45" s="1089">
        <f>IF('Mkt Pen Veh-Mi'!J45=0,1,1/((1-Fuel2ShrbyTech!J46)/'Inputs 7&amp;8 Day'!$P58+Fuel2ShrbyTech!J46/'Inputs 7&amp;8 Day'!$V58))</f>
        <v>12.791852624409804</v>
      </c>
      <c r="K45" s="1089">
        <f>IF('Mkt Pen Veh-Mi'!K45=0,1,1/((1-Fuel2ShrbyTech!K46)/'Inputs 7&amp;8 Day'!$Q58+Fuel2ShrbyTech!K46/'Inputs 7&amp;8 Day'!$W58))</f>
        <v>1</v>
      </c>
      <c r="L45" s="1089">
        <f>IF('Mkt Pen Veh-Mi'!L45=0,1,1/((1-Fuel2ShrbyTech!L46)/'Inputs 7&amp;8 Day'!$R58+Fuel2ShrbyTech!L46/'Inputs 7&amp;8 Day'!$X58))</f>
        <v>15.00186454183225</v>
      </c>
      <c r="M45" s="1090">
        <f>IF('Mkt Pen Veh-Mi'!M45=0,1,1/((1-Fuel2ShrbyTech!M46)/'Inputs 7&amp;8 Day'!$S58+Fuel2ShrbyTech!M46/'Inputs 7&amp;8 Day'!$Y58))</f>
        <v>13.885469268989347</v>
      </c>
      <c r="N45" s="1088">
        <f>IF('Mkt Pen Veh-Mi'!N45=0,1,1/((1-Fuel2ShrbyTech!N46)/'Inputs 7&amp;8 SU'!$N58+Fuel2ShrbyTech!N46/'Inputs 7&amp;8 SU'!$T58))</f>
        <v>7.8877646562024593</v>
      </c>
      <c r="O45" s="1089">
        <f>IF('Mkt Pen Veh-Mi'!O45=0,1,1/((1-Fuel2ShrbyTech!O46)/'Inputs 7&amp;8 SU'!$O58+Fuel2ShrbyTech!O46/'Inputs 7&amp;8 SU'!$U58))</f>
        <v>9.4618261602817224</v>
      </c>
      <c r="P45" s="1089">
        <f>IF('Mkt Pen Veh-Mi'!P45=0,1,1/((1-Fuel2ShrbyTech!P46)/'Inputs 7&amp;8 SU'!$P58+Fuel2ShrbyTech!P46/'Inputs 7&amp;8 SU'!$V58))</f>
        <v>12.256703749778673</v>
      </c>
      <c r="Q45" s="1089">
        <f>IF('Mkt Pen Veh-Mi'!Q45=0,1,1/((1-Fuel2ShrbyTech!Q46)/'Inputs 7&amp;8 SU'!$Q58+Fuel2ShrbyTech!Q46/'Inputs 7&amp;8 SU'!$W58))</f>
        <v>29.678464491787828</v>
      </c>
      <c r="R45" s="1089">
        <f>IF('Mkt Pen Veh-Mi'!R45=0,1,1/((1-Fuel2ShrbyTech!R46)/'Inputs 7&amp;8 SU'!$R58+Fuel2ShrbyTech!R46/'Inputs 7&amp;8 SU'!$X58))</f>
        <v>20.464334429706291</v>
      </c>
      <c r="S45" s="1090">
        <f>IF('Mkt Pen Veh-Mi'!S45=0,1,1/((1-Fuel2ShrbyTech!S46)/'Inputs 7&amp;8 SU'!$S58+Fuel2ShrbyTech!S46/'Inputs 7&amp;8 SU'!$Y58))</f>
        <v>18.981634809138946</v>
      </c>
      <c r="U45" s="1034">
        <f t="shared" si="13"/>
        <v>2043</v>
      </c>
      <c r="V45" s="1088">
        <f t="shared" si="14"/>
        <v>8.1044016873015927</v>
      </c>
      <c r="W45" s="1089">
        <f t="shared" si="15"/>
        <v>10.062914751077511</v>
      </c>
      <c r="X45" s="1089">
        <f t="shared" si="16"/>
        <v>11.605242749768772</v>
      </c>
      <c r="Y45" s="1089">
        <f t="shared" si="17"/>
        <v>0</v>
      </c>
      <c r="Z45" s="1089">
        <f t="shared" si="18"/>
        <v>13.44567676692802</v>
      </c>
      <c r="AA45" s="1090">
        <f t="shared" si="19"/>
        <v>12.811222139222721</v>
      </c>
      <c r="AB45" s="1088">
        <f t="shared" si="20"/>
        <v>7.3384566280660994</v>
      </c>
      <c r="AC45" s="1089">
        <f t="shared" si="21"/>
        <v>11.165232210960475</v>
      </c>
      <c r="AD45" s="1089">
        <f t="shared" si="22"/>
        <v>12.791852624409804</v>
      </c>
      <c r="AE45" s="1089">
        <f t="shared" si="23"/>
        <v>0</v>
      </c>
      <c r="AF45" s="1089">
        <f t="shared" si="24"/>
        <v>15.00186454183225</v>
      </c>
      <c r="AG45" s="1090">
        <f t="shared" si="25"/>
        <v>13.885469268989347</v>
      </c>
      <c r="AH45" s="1088">
        <f t="shared" si="26"/>
        <v>7.8877646562024593</v>
      </c>
      <c r="AI45" s="1089">
        <f t="shared" si="27"/>
        <v>9.4618261602817224</v>
      </c>
      <c r="AJ45" s="1089">
        <f t="shared" si="28"/>
        <v>12.256703749778673</v>
      </c>
      <c r="AK45" s="1089">
        <f t="shared" si="29"/>
        <v>29.678464491787828</v>
      </c>
      <c r="AL45" s="1089">
        <f t="shared" si="30"/>
        <v>20.464334429706291</v>
      </c>
      <c r="AM45" s="1090">
        <f t="shared" si="31"/>
        <v>18.981634809138946</v>
      </c>
      <c r="AN45" s="1019">
        <v>2043</v>
      </c>
      <c r="AO45" s="1165">
        <f t="array" ref="AO45">1/SUMPRODUCT(IFERROR(1/V45:AA45,0),'Mkt Pen Veh-Mi'!B45:G45)</f>
        <v>10.697476622516113</v>
      </c>
      <c r="AP45" s="1166">
        <f t="array" ref="AP45">1/SUMPRODUCT(IFERROR(1/AB45:AG45,0),'Mkt Pen Veh-Mi'!H45:M45)</f>
        <v>10.554684676250012</v>
      </c>
      <c r="AQ45" s="1170">
        <f t="array" ref="AQ45">1/SUMPRODUCT(IFERROR(1/AH45:AM45,0),'Mkt Pen Veh-Mi'!N45:S45)</f>
        <v>11.044350544299524</v>
      </c>
      <c r="AR45" s="1163">
        <v>2043</v>
      </c>
      <c r="AS45" s="1165">
        <f t="shared" si="32"/>
        <v>1.3199588366007928</v>
      </c>
      <c r="AT45" s="1166">
        <f t="shared" si="33"/>
        <v>1.4382703627195088</v>
      </c>
      <c r="AU45" s="1166">
        <f t="shared" si="34"/>
        <v>1.4001876356205578</v>
      </c>
      <c r="AV45" s="1170">
        <v>2.2174143154278179</v>
      </c>
    </row>
    <row r="46" spans="1:48" s="1019" customFormat="1" ht="15" x14ac:dyDescent="0.25">
      <c r="A46" s="1034">
        <v>2044</v>
      </c>
      <c r="B46" s="1088">
        <f>IF('Mkt Pen Veh-Mi'!B46=0,1,1/((1-Fuel2ShrbyTech!B47)/'Inputs 7&amp;8 Sleep'!$N59+Fuel2ShrbyTech!B47/'Inputs 7&amp;8 Sleep'!$T59))</f>
        <v>8.1044204062362173</v>
      </c>
      <c r="C46" s="1089">
        <f>IF('Mkt Pen Veh-Mi'!C46=0,1,1/((1-Fuel2ShrbyTech!C47)/'Inputs 7&amp;8 Sleep'!$O59+Fuel2ShrbyTech!C47/'Inputs 7&amp;8 Sleep'!$U59))</f>
        <v>10.313087075799702</v>
      </c>
      <c r="D46" s="1089">
        <f>IF('Mkt Pen Veh-Mi'!D46=0,1,1/((1-Fuel2ShrbyTech!D47)/'Inputs 7&amp;8 Sleep'!$P59+Fuel2ShrbyTech!D47/'Inputs 7&amp;8 Sleep'!$V59))</f>
        <v>12.025569339936739</v>
      </c>
      <c r="E46" s="1089">
        <f>IF('Mkt Pen Veh-Mi'!E46=0,1,1/((1-Fuel2ShrbyTech!E47)/'Inputs 7&amp;8 Sleep'!$Q59+Fuel2ShrbyTech!E47/'Inputs 7&amp;8 Sleep'!$W59))</f>
        <v>1</v>
      </c>
      <c r="F46" s="1089">
        <f>IF('Mkt Pen Veh-Mi'!F46=0,1,1/((1-Fuel2ShrbyTech!F47)/'Inputs 7&amp;8 Sleep'!$R59+Fuel2ShrbyTech!F47/'Inputs 7&amp;8 Sleep'!$X59))</f>
        <v>14.003648072580726</v>
      </c>
      <c r="G46" s="1090">
        <f>IF('Mkt Pen Veh-Mi'!G46=0,1,1/((1-Fuel2ShrbyTech!G47)/'Inputs 7&amp;8 Sleep'!$S59+Fuel2ShrbyTech!G47/'Inputs 7&amp;8 Sleep'!$Y59))</f>
        <v>14.00441648239833</v>
      </c>
      <c r="H46" s="1088">
        <f>IF('Mkt Pen Veh-Mi'!H46=0,1,1/((1-Fuel2ShrbyTech!H47)/'Inputs 7&amp;8 Day'!$N59+Fuel2ShrbyTech!H47/'Inputs 7&amp;8 Day'!$T59))</f>
        <v>7.3388728046994043</v>
      </c>
      <c r="I46" s="1089">
        <f>IF('Mkt Pen Veh-Mi'!I46=0,1,1/((1-Fuel2ShrbyTech!I47)/'Inputs 7&amp;8 Day'!$O59+Fuel2ShrbyTech!I47/'Inputs 7&amp;8 Day'!$U59))</f>
        <v>11.447021658429103</v>
      </c>
      <c r="J46" s="1089">
        <f>IF('Mkt Pen Veh-Mi'!J46=0,1,1/((1-Fuel2ShrbyTech!J47)/'Inputs 7&amp;8 Day'!$P59+Fuel2ShrbyTech!J47/'Inputs 7&amp;8 Day'!$V59))</f>
        <v>13.258166471204905</v>
      </c>
      <c r="K46" s="1089">
        <f>IF('Mkt Pen Veh-Mi'!K46=0,1,1/((1-Fuel2ShrbyTech!K47)/'Inputs 7&amp;8 Day'!$Q59+Fuel2ShrbyTech!K47/'Inputs 7&amp;8 Day'!$W59))</f>
        <v>23.607899154126081</v>
      </c>
      <c r="L46" s="1089">
        <f>IF('Mkt Pen Veh-Mi'!L46=0,1,1/((1-Fuel2ShrbyTech!L47)/'Inputs 7&amp;8 Day'!$R59+Fuel2ShrbyTech!L47/'Inputs 7&amp;8 Day'!$X59))</f>
        <v>15.603570530322699</v>
      </c>
      <c r="M46" s="1090">
        <f>IF('Mkt Pen Veh-Mi'!M46=0,1,1/((1-Fuel2ShrbyTech!M47)/'Inputs 7&amp;8 Day'!$S59+Fuel2ShrbyTech!M47/'Inputs 7&amp;8 Day'!$Y59))</f>
        <v>14.801826483142273</v>
      </c>
      <c r="N46" s="1088">
        <f>IF('Mkt Pen Veh-Mi'!N46=0,1,1/((1-Fuel2ShrbyTech!N47)/'Inputs 7&amp;8 SU'!$N59+Fuel2ShrbyTech!N47/'Inputs 7&amp;8 SU'!$T59))</f>
        <v>7.8915292676605526</v>
      </c>
      <c r="O46" s="1089">
        <f>IF('Mkt Pen Veh-Mi'!O46=0,1,1/((1-Fuel2ShrbyTech!O47)/'Inputs 7&amp;8 SU'!$O59+Fuel2ShrbyTech!O47/'Inputs 7&amp;8 SU'!$U59))</f>
        <v>9.6475399842908107</v>
      </c>
      <c r="P46" s="1089">
        <f>IF('Mkt Pen Veh-Mi'!P46=0,1,1/((1-Fuel2ShrbyTech!P47)/'Inputs 7&amp;8 SU'!$P59+Fuel2ShrbyTech!P47/'Inputs 7&amp;8 SU'!$V59))</f>
        <v>12.522464576126923</v>
      </c>
      <c r="Q46" s="1089">
        <f>IF('Mkt Pen Veh-Mi'!Q46=0,1,1/((1-Fuel2ShrbyTech!Q47)/'Inputs 7&amp;8 SU'!$Q59+Fuel2ShrbyTech!Q47/'Inputs 7&amp;8 SU'!$W59))</f>
        <v>30.14120388013011</v>
      </c>
      <c r="R46" s="1089">
        <f>IF('Mkt Pen Veh-Mi'!R46=0,1,1/((1-Fuel2ShrbyTech!R47)/'Inputs 7&amp;8 SU'!$R59+Fuel2ShrbyTech!R47/'Inputs 7&amp;8 SU'!$X59))</f>
        <v>20.892843101502663</v>
      </c>
      <c r="S46" s="1090">
        <f>IF('Mkt Pen Veh-Mi'!S46=0,1,1/((1-Fuel2ShrbyTech!S47)/'Inputs 7&amp;8 SU'!$S59+Fuel2ShrbyTech!S47/'Inputs 7&amp;8 SU'!$Y59))</f>
        <v>20.502783672355498</v>
      </c>
      <c r="U46" s="1034">
        <f t="shared" si="13"/>
        <v>2044</v>
      </c>
      <c r="V46" s="1088">
        <f t="shared" si="14"/>
        <v>8.1044204062362173</v>
      </c>
      <c r="W46" s="1089">
        <f t="shared" si="15"/>
        <v>10.313087075799702</v>
      </c>
      <c r="X46" s="1089">
        <f t="shared" si="16"/>
        <v>12.025569339936739</v>
      </c>
      <c r="Y46" s="1089">
        <f t="shared" si="17"/>
        <v>0</v>
      </c>
      <c r="Z46" s="1089">
        <f t="shared" si="18"/>
        <v>14.003648072580726</v>
      </c>
      <c r="AA46" s="1090">
        <f t="shared" si="19"/>
        <v>14.00441648239833</v>
      </c>
      <c r="AB46" s="1088">
        <f t="shared" si="20"/>
        <v>7.3388728046994043</v>
      </c>
      <c r="AC46" s="1089">
        <f t="shared" si="21"/>
        <v>11.447021658429103</v>
      </c>
      <c r="AD46" s="1089">
        <f t="shared" si="22"/>
        <v>13.258166471204905</v>
      </c>
      <c r="AE46" s="1089">
        <f t="shared" si="23"/>
        <v>23.607899154126081</v>
      </c>
      <c r="AF46" s="1089">
        <f t="shared" si="24"/>
        <v>15.603570530322699</v>
      </c>
      <c r="AG46" s="1090">
        <f t="shared" si="25"/>
        <v>14.801826483142273</v>
      </c>
      <c r="AH46" s="1088">
        <f t="shared" si="26"/>
        <v>7.8915292676605526</v>
      </c>
      <c r="AI46" s="1089">
        <f t="shared" si="27"/>
        <v>9.6475399842908107</v>
      </c>
      <c r="AJ46" s="1089">
        <f t="shared" si="28"/>
        <v>12.522464576126923</v>
      </c>
      <c r="AK46" s="1089">
        <f t="shared" si="29"/>
        <v>30.14120388013011</v>
      </c>
      <c r="AL46" s="1089">
        <f t="shared" si="30"/>
        <v>20.892843101502663</v>
      </c>
      <c r="AM46" s="1090">
        <f t="shared" si="31"/>
        <v>20.502783672355498</v>
      </c>
      <c r="AN46" s="1019">
        <v>2044</v>
      </c>
      <c r="AO46" s="1165">
        <f t="array" ref="AO46">1/SUMPRODUCT(IFERROR(1/V46:AA46,0),'Mkt Pen Veh-Mi'!B46:G46)</f>
        <v>11.114440632120889</v>
      </c>
      <c r="AP46" s="1166">
        <f t="array" ref="AP46">1/SUMPRODUCT(IFERROR(1/AB46:AG46,0),'Mkt Pen Veh-Mi'!H46:M46)</f>
        <v>10.94314824993474</v>
      </c>
      <c r="AQ46" s="1170">
        <f t="array" ref="AQ46">1/SUMPRODUCT(IFERROR(1/AH46:AM46,0),'Mkt Pen Veh-Mi'!N46:S46)</f>
        <v>11.561419826562078</v>
      </c>
      <c r="AR46" s="1163">
        <v>2044</v>
      </c>
      <c r="AS46" s="1165">
        <f t="shared" si="32"/>
        <v>1.3714047488909276</v>
      </c>
      <c r="AT46" s="1166">
        <f t="shared" si="33"/>
        <v>1.4911211218877318</v>
      </c>
      <c r="AU46" s="1166">
        <f t="shared" si="34"/>
        <v>1.465041747223915</v>
      </c>
      <c r="AV46" s="1170">
        <v>2.2420204999328672</v>
      </c>
    </row>
    <row r="47" spans="1:48" s="1019" customFormat="1" ht="15" x14ac:dyDescent="0.25">
      <c r="A47" s="1040">
        <v>2045</v>
      </c>
      <c r="B47" s="1091">
        <f>IF('Mkt Pen Veh-Mi'!B47=0,1,1/((1-Fuel2ShrbyTech!B48)/'Inputs 7&amp;8 Sleep'!$N60+Fuel2ShrbyTech!B48/'Inputs 7&amp;8 Sleep'!$T60))</f>
        <v>8.1044311458601701</v>
      </c>
      <c r="C47" s="1092">
        <f>IF('Mkt Pen Veh-Mi'!C47=0,1,1/((1-Fuel2ShrbyTech!C48)/'Inputs 7&amp;8 Sleep'!$O60+Fuel2ShrbyTech!C48/'Inputs 7&amp;8 Sleep'!$U60))</f>
        <v>10.522888255270276</v>
      </c>
      <c r="D47" s="1092">
        <f>IF('Mkt Pen Veh-Mi'!D47=0,1,1/((1-Fuel2ShrbyTech!D48)/'Inputs 7&amp;8 Sleep'!$P60+Fuel2ShrbyTech!D48/'Inputs 7&amp;8 Sleep'!$V60))</f>
        <v>12.37806642161039</v>
      </c>
      <c r="E47" s="1092">
        <f>IF('Mkt Pen Veh-Mi'!E47=0,1,1/((1-Fuel2ShrbyTech!E48)/'Inputs 7&amp;8 Sleep'!$Q60+Fuel2ShrbyTech!E48/'Inputs 7&amp;8 Sleep'!$W60))</f>
        <v>21.647037000525888</v>
      </c>
      <c r="F47" s="1092">
        <f>IF('Mkt Pen Veh-Mi'!F47=0,1,1/((1-Fuel2ShrbyTech!F48)/'Inputs 7&amp;8 Sleep'!$R60+Fuel2ShrbyTech!F48/'Inputs 7&amp;8 Sleep'!$X60))</f>
        <v>14.471577681368069</v>
      </c>
      <c r="G47" s="1093">
        <f>IF('Mkt Pen Veh-Mi'!G47=0,1,1/((1-Fuel2ShrbyTech!G48)/'Inputs 7&amp;8 Sleep'!$S60+Fuel2ShrbyTech!G48/'Inputs 7&amp;8 Sleep'!$Y60))</f>
        <v>15.42168549954966</v>
      </c>
      <c r="H47" s="1091">
        <f>IF('Mkt Pen Veh-Mi'!H47=0,1,1/((1-Fuel2ShrbyTech!H48)/'Inputs 7&amp;8 Day'!$N60+Fuel2ShrbyTech!H48/'Inputs 7&amp;8 Day'!$T60))</f>
        <v>7.3392889813327082</v>
      </c>
      <c r="I47" s="1092">
        <f>IF('Mkt Pen Veh-Mi'!I47=0,1,1/((1-Fuel2ShrbyTech!I48)/'Inputs 7&amp;8 Day'!$O60+Fuel2ShrbyTech!I48/'Inputs 7&amp;8 Day'!$U60))</f>
        <v>11.68333779974062</v>
      </c>
      <c r="J47" s="1092">
        <f>IF('Mkt Pen Veh-Mi'!J47=0,1,1/((1-Fuel2ShrbyTech!J48)/'Inputs 7&amp;8 Day'!$P60+Fuel2ShrbyTech!J48/'Inputs 7&amp;8 Day'!$V60))</f>
        <v>13.649229692005665</v>
      </c>
      <c r="K47" s="1092">
        <f>IF('Mkt Pen Veh-Mi'!K47=0,1,1/((1-Fuel2ShrbyTech!K48)/'Inputs 7&amp;8 Day'!$Q60+Fuel2ShrbyTech!K48/'Inputs 7&amp;8 Day'!$W60))</f>
        <v>24.298638994937054</v>
      </c>
      <c r="L47" s="1092">
        <f>IF('Mkt Pen Veh-Mi'!L47=0,1,1/((1-Fuel2ShrbyTech!L48)/'Inputs 7&amp;8 Day'!$R60+Fuel2ShrbyTech!L48/'Inputs 7&amp;8 Day'!$X60))</f>
        <v>16.108177209818482</v>
      </c>
      <c r="M47" s="1093">
        <f>IF('Mkt Pen Veh-Mi'!M47=0,1,1/((1-Fuel2ShrbyTech!M48)/'Inputs 7&amp;8 Day'!$S60+Fuel2ShrbyTech!M48/'Inputs 7&amp;8 Day'!$Y60))</f>
        <v>15.591429516880869</v>
      </c>
      <c r="N47" s="1091">
        <f>IF('Mkt Pen Veh-Mi'!N47=0,1,1/((1-Fuel2ShrbyTech!N48)/'Inputs 7&amp;8 SU'!$N60+Fuel2ShrbyTech!N48/'Inputs 7&amp;8 SU'!$T60))</f>
        <v>7.8947420423053876</v>
      </c>
      <c r="O47" s="1092">
        <f>IF('Mkt Pen Veh-Mi'!O47=0,1,1/((1-Fuel2ShrbyTech!O48)/'Inputs 7&amp;8 SU'!$O60+Fuel2ShrbyTech!O48/'Inputs 7&amp;8 SU'!$U60))</f>
        <v>9.8130586695230697</v>
      </c>
      <c r="P47" s="1092">
        <f>IF('Mkt Pen Veh-Mi'!P47=0,1,1/((1-Fuel2ShrbyTech!P48)/'Inputs 7&amp;8 SU'!$P60+Fuel2ShrbyTech!P48/'Inputs 7&amp;8 SU'!$V60))</f>
        <v>12.759325686483729</v>
      </c>
      <c r="Q47" s="1092">
        <f>IF('Mkt Pen Veh-Mi'!Q47=0,1,1/((1-Fuel2ShrbyTech!Q48)/'Inputs 7&amp;8 SU'!$Q60+Fuel2ShrbyTech!Q48/'Inputs 7&amp;8 SU'!$W60))</f>
        <v>30.553623448636994</v>
      </c>
      <c r="R47" s="1092">
        <f>IF('Mkt Pen Veh-Mi'!R47=0,1,1/((1-Fuel2ShrbyTech!R48)/'Inputs 7&amp;8 SU'!$R60+Fuel2ShrbyTech!R48/'Inputs 7&amp;8 SU'!$X60))</f>
        <v>21.274754315408245</v>
      </c>
      <c r="S47" s="1093">
        <f>IF('Mkt Pen Veh-Mi'!S47=0,1,1/((1-Fuel2ShrbyTech!S48)/'Inputs 7&amp;8 SU'!$S60+Fuel2ShrbyTech!S48/'Inputs 7&amp;8 SU'!$Y60))</f>
        <v>22.425567297982905</v>
      </c>
      <c r="U47" s="1040">
        <f t="shared" si="13"/>
        <v>2045</v>
      </c>
      <c r="V47" s="1091">
        <f t="shared" si="14"/>
        <v>8.1044311458601701</v>
      </c>
      <c r="W47" s="1092">
        <f t="shared" si="15"/>
        <v>10.522888255270276</v>
      </c>
      <c r="X47" s="1092">
        <f t="shared" si="16"/>
        <v>12.37806642161039</v>
      </c>
      <c r="Y47" s="1092">
        <f t="shared" si="17"/>
        <v>21.647037000525888</v>
      </c>
      <c r="Z47" s="1092">
        <f t="shared" si="18"/>
        <v>14.471577681368069</v>
      </c>
      <c r="AA47" s="1093">
        <f t="shared" si="19"/>
        <v>15.42168549954966</v>
      </c>
      <c r="AB47" s="1091">
        <f t="shared" si="20"/>
        <v>7.3392889813327082</v>
      </c>
      <c r="AC47" s="1092">
        <f t="shared" si="21"/>
        <v>11.68333779974062</v>
      </c>
      <c r="AD47" s="1092">
        <f t="shared" si="22"/>
        <v>13.649229692005665</v>
      </c>
      <c r="AE47" s="1092">
        <f t="shared" si="23"/>
        <v>24.298638994937054</v>
      </c>
      <c r="AF47" s="1092">
        <f t="shared" si="24"/>
        <v>16.108177209818482</v>
      </c>
      <c r="AG47" s="1093">
        <f t="shared" si="25"/>
        <v>15.591429516880869</v>
      </c>
      <c r="AH47" s="1091">
        <f t="shared" si="26"/>
        <v>7.8947420423053876</v>
      </c>
      <c r="AI47" s="1092">
        <f t="shared" si="27"/>
        <v>9.8130586695230697</v>
      </c>
      <c r="AJ47" s="1092">
        <f t="shared" si="28"/>
        <v>12.759325686483729</v>
      </c>
      <c r="AK47" s="1092">
        <f t="shared" si="29"/>
        <v>30.553623448636994</v>
      </c>
      <c r="AL47" s="1092">
        <f t="shared" si="30"/>
        <v>21.274754315408245</v>
      </c>
      <c r="AM47" s="1093">
        <f t="shared" si="31"/>
        <v>22.425567297982905</v>
      </c>
      <c r="AN47" s="1019">
        <v>2045</v>
      </c>
      <c r="AO47" s="1165">
        <f t="array" ref="AO47">1/SUMPRODUCT(IFERROR(1/V47:AA47,0),'Mkt Pen Veh-Mi'!B47:G47)</f>
        <v>11.697771169818116</v>
      </c>
      <c r="AP47" s="1166">
        <f t="array" ref="AP47">1/SUMPRODUCT(IFERROR(1/AB47:AG47,0),'Mkt Pen Veh-Mi'!H47:M47)</f>
        <v>11.335632516980848</v>
      </c>
      <c r="AQ47" s="1170">
        <f t="array" ref="AQ47">1/SUMPRODUCT(IFERROR(1/AH47:AM47,0),'Mkt Pen Veh-Mi'!N47:S47)</f>
        <v>12.15769569278441</v>
      </c>
      <c r="AR47" s="1163">
        <v>2045</v>
      </c>
      <c r="AS47" s="1165">
        <f t="shared" si="32"/>
        <v>1.4433796720937611</v>
      </c>
      <c r="AT47" s="1166">
        <f t="shared" si="33"/>
        <v>1.5445137186739391</v>
      </c>
      <c r="AU47" s="1166">
        <f t="shared" si="34"/>
        <v>1.5399737733842629</v>
      </c>
      <c r="AV47" s="1170">
        <v>2.2603379864801605</v>
      </c>
    </row>
    <row r="48" spans="1:48" s="1019" customFormat="1" ht="15" x14ac:dyDescent="0.25">
      <c r="A48" s="1034">
        <v>2046</v>
      </c>
      <c r="B48" s="1094">
        <f>IF('Mkt Pen Veh-Mi'!B48=0,1,1/((1-Fuel2ShrbyTech!B49)/'Inputs 7&amp;8 Sleep'!$N61+Fuel2ShrbyTech!B49/'Inputs 7&amp;8 Sleep'!$T61))</f>
        <v>8.1044333679487188</v>
      </c>
      <c r="C48" s="1095">
        <f>IF('Mkt Pen Veh-Mi'!C48=0,1,1/((1-Fuel2ShrbyTech!C49)/'Inputs 7&amp;8 Sleep'!$O61+Fuel2ShrbyTech!C49/'Inputs 7&amp;8 Sleep'!$U61))</f>
        <v>10.682510040319665</v>
      </c>
      <c r="D48" s="1095">
        <f>IF('Mkt Pen Veh-Mi'!D48=0,1,1/((1-Fuel2ShrbyTech!D49)/'Inputs 7&amp;8 Sleep'!$P61+Fuel2ShrbyTech!D49/'Inputs 7&amp;8 Sleep'!$V61))</f>
        <v>12.64625468224569</v>
      </c>
      <c r="E48" s="1095">
        <f>IF('Mkt Pen Veh-Mi'!E48=0,1,1/((1-Fuel2ShrbyTech!E49)/'Inputs 7&amp;8 Sleep'!$Q61+Fuel2ShrbyTech!E49/'Inputs 7&amp;8 Sleep'!$W61))</f>
        <v>22.137445538681792</v>
      </c>
      <c r="F48" s="1095">
        <f>IF('Mkt Pen Veh-Mi'!F48=0,1,1/((1-Fuel2ShrbyTech!F49)/'Inputs 7&amp;8 Sleep'!$R61+Fuel2ShrbyTech!F49/'Inputs 7&amp;8 Sleep'!$X61))</f>
        <v>14.827589785878537</v>
      </c>
      <c r="G48" s="1096">
        <f>IF('Mkt Pen Veh-Mi'!G48=0,1,1/((1-Fuel2ShrbyTech!G49)/'Inputs 7&amp;8 Sleep'!$S61+Fuel2ShrbyTech!G49/'Inputs 7&amp;8 Sleep'!$Y61))</f>
        <v>16.284383018586649</v>
      </c>
      <c r="H48" s="1094">
        <f>IF('Mkt Pen Veh-Mi'!H48=0,1,1/((1-Fuel2ShrbyTech!H49)/'Inputs 7&amp;8 Day'!$N61+Fuel2ShrbyTech!H49/'Inputs 7&amp;8 Day'!$T61))</f>
        <v>7.3397051579660149</v>
      </c>
      <c r="I48" s="1095">
        <f>IF('Mkt Pen Veh-Mi'!I48=0,1,1/((1-Fuel2ShrbyTech!I49)/'Inputs 7&amp;8 Day'!$O61+Fuel2ShrbyTech!I49/'Inputs 7&amp;8 Day'!$U61))</f>
        <v>11.863132805694901</v>
      </c>
      <c r="J48" s="1095">
        <f>IF('Mkt Pen Veh-Mi'!J48=0,1,1/((1-Fuel2ShrbyTech!J49)/'Inputs 7&amp;8 Day'!$P61+Fuel2ShrbyTech!J49/'Inputs 7&amp;8 Day'!$V61))</f>
        <v>13.946759999170293</v>
      </c>
      <c r="K48" s="1095">
        <f>IF('Mkt Pen Veh-Mi'!K48=0,1,1/((1-Fuel2ShrbyTech!K49)/'Inputs 7&amp;8 Day'!$Q61+Fuel2ShrbyTech!K49/'Inputs 7&amp;8 Day'!$W61))</f>
        <v>24.824170484670383</v>
      </c>
      <c r="L48" s="1095">
        <f>IF('Mkt Pen Veh-Mi'!L48=0,1,1/((1-Fuel2ShrbyTech!L49)/'Inputs 7&amp;8 Day'!$R61+Fuel2ShrbyTech!L49/'Inputs 7&amp;8 Day'!$X61))</f>
        <v>16.492094112155339</v>
      </c>
      <c r="M48" s="1096">
        <f>IF('Mkt Pen Veh-Mi'!M48=0,1,1/((1-Fuel2ShrbyTech!M49)/'Inputs 7&amp;8 Day'!$S61+Fuel2ShrbyTech!M49/'Inputs 7&amp;8 Day'!$Y61))</f>
        <v>16.183132796184225</v>
      </c>
      <c r="N48" s="1094">
        <f>IF('Mkt Pen Veh-Mi'!N48=0,1,1/((1-Fuel2ShrbyTech!N49)/'Inputs 7&amp;8 SU'!$N61+Fuel2ShrbyTech!N49/'Inputs 7&amp;8 SU'!$T61))</f>
        <v>7.8983368628838022</v>
      </c>
      <c r="O48" s="1095">
        <f>IF('Mkt Pen Veh-Mi'!O48=0,1,1/((1-Fuel2ShrbyTech!O49)/'Inputs 7&amp;8 SU'!$O61+Fuel2ShrbyTech!O49/'Inputs 7&amp;8 SU'!$U61))</f>
        <v>9.9509070833263369</v>
      </c>
      <c r="P48" s="1095">
        <f>IF('Mkt Pen Veh-Mi'!P48=0,1,1/((1-Fuel2ShrbyTech!P49)/'Inputs 7&amp;8 SU'!$P61+Fuel2ShrbyTech!P49/'Inputs 7&amp;8 SU'!$V61))</f>
        <v>12.956589991166611</v>
      </c>
      <c r="Q48" s="1095">
        <f>IF('Mkt Pen Veh-Mi'!Q48=0,1,1/((1-Fuel2ShrbyTech!Q49)/'Inputs 7&amp;8 SU'!$Q61+Fuel2ShrbyTech!Q49/'Inputs 7&amp;8 SU'!$W61))</f>
        <v>30.897097560096544</v>
      </c>
      <c r="R48" s="1095">
        <f>IF('Mkt Pen Veh-Mi'!R48=0,1,1/((1-Fuel2ShrbyTech!R49)/'Inputs 7&amp;8 SU'!$R61+Fuel2ShrbyTech!R49/'Inputs 7&amp;8 SU'!$X61))</f>
        <v>21.59282024842777</v>
      </c>
      <c r="S48" s="1096">
        <f>IF('Mkt Pen Veh-Mi'!S48=0,1,1/((1-Fuel2ShrbyTech!S49)/'Inputs 7&amp;8 SU'!$S61+Fuel2ShrbyTech!S49/'Inputs 7&amp;8 SU'!$Y61))</f>
        <v>23.8747077726828</v>
      </c>
      <c r="U48" s="1034">
        <f t="shared" si="13"/>
        <v>2046</v>
      </c>
      <c r="V48" s="1094">
        <f t="shared" si="14"/>
        <v>8.1044333679487188</v>
      </c>
      <c r="W48" s="1095">
        <f t="shared" si="15"/>
        <v>10.682510040319665</v>
      </c>
      <c r="X48" s="1095">
        <f t="shared" si="16"/>
        <v>12.64625468224569</v>
      </c>
      <c r="Y48" s="1095">
        <f t="shared" si="17"/>
        <v>22.137445538681792</v>
      </c>
      <c r="Z48" s="1095">
        <f t="shared" si="18"/>
        <v>14.827589785878537</v>
      </c>
      <c r="AA48" s="1096">
        <f t="shared" si="19"/>
        <v>16.284383018586649</v>
      </c>
      <c r="AB48" s="1094">
        <f t="shared" si="20"/>
        <v>7.3397051579660149</v>
      </c>
      <c r="AC48" s="1095">
        <f t="shared" si="21"/>
        <v>11.863132805694901</v>
      </c>
      <c r="AD48" s="1095">
        <f t="shared" si="22"/>
        <v>13.946759999170293</v>
      </c>
      <c r="AE48" s="1095">
        <f t="shared" si="23"/>
        <v>24.824170484670383</v>
      </c>
      <c r="AF48" s="1095">
        <f t="shared" si="24"/>
        <v>16.492094112155339</v>
      </c>
      <c r="AG48" s="1096">
        <f t="shared" si="25"/>
        <v>16.183132796184225</v>
      </c>
      <c r="AH48" s="1094">
        <f t="shared" si="26"/>
        <v>7.8983368628838022</v>
      </c>
      <c r="AI48" s="1095">
        <f t="shared" si="27"/>
        <v>9.9509070833263369</v>
      </c>
      <c r="AJ48" s="1095">
        <f t="shared" si="28"/>
        <v>12.956589991166611</v>
      </c>
      <c r="AK48" s="1095">
        <f t="shared" si="29"/>
        <v>30.897097560096544</v>
      </c>
      <c r="AL48" s="1095">
        <f t="shared" si="30"/>
        <v>21.59282024842777</v>
      </c>
      <c r="AM48" s="1096">
        <f t="shared" si="31"/>
        <v>23.8747077726828</v>
      </c>
      <c r="AN48" s="1019">
        <v>2046</v>
      </c>
      <c r="AO48" s="1165">
        <f t="array" ref="AO48">1/SUMPRODUCT(IFERROR(1/V48:AA48,0),'Mkt Pen Veh-Mi'!B48:G48)</f>
        <v>12.298989738722041</v>
      </c>
      <c r="AP48" s="1166">
        <f t="array" ref="AP48">1/SUMPRODUCT(IFERROR(1/AB48:AG48,0),'Mkt Pen Veh-Mi'!H48:M48)</f>
        <v>11.625589997434897</v>
      </c>
      <c r="AQ48" s="1170">
        <f t="array" ref="AQ48">1/SUMPRODUCT(IFERROR(1/AH48:AM48,0),'Mkt Pen Veh-Mi'!N48:S48)</f>
        <v>12.782395389936765</v>
      </c>
      <c r="AR48" s="1163">
        <v>2046</v>
      </c>
      <c r="AS48" s="1165">
        <f t="shared" si="32"/>
        <v>1.5175631879906477</v>
      </c>
      <c r="AT48" s="1166">
        <f t="shared" si="33"/>
        <v>1.5839314723449449</v>
      </c>
      <c r="AU48" s="1166">
        <f t="shared" si="34"/>
        <v>1.6183654371598579</v>
      </c>
      <c r="AV48" s="1170">
        <v>2.2751084089886593</v>
      </c>
    </row>
    <row r="49" spans="1:48" s="1019" customFormat="1" ht="15" x14ac:dyDescent="0.25">
      <c r="A49" s="1034">
        <v>2047</v>
      </c>
      <c r="B49" s="1088">
        <f>IF('Mkt Pen Veh-Mi'!B49=0,1,1/((1-Fuel2ShrbyTech!B50)/'Inputs 7&amp;8 Sleep'!$N62+Fuel2ShrbyTech!B50/'Inputs 7&amp;8 Sleep'!$T62))</f>
        <v>8.1044320169487083</v>
      </c>
      <c r="C49" s="1089">
        <f>IF('Mkt Pen Veh-Mi'!C49=0,1,1/((1-Fuel2ShrbyTech!C50)/'Inputs 7&amp;8 Sleep'!$O62+Fuel2ShrbyTech!C50/'Inputs 7&amp;8 Sleep'!$U62))</f>
        <v>10.795187533547068</v>
      </c>
      <c r="D49" s="1089">
        <f>IF('Mkt Pen Veh-Mi'!D49=0,1,1/((1-Fuel2ShrbyTech!D50)/'Inputs 7&amp;8 Sleep'!$P62+Fuel2ShrbyTech!D50/'Inputs 7&amp;8 Sleep'!$V62))</f>
        <v>12.83556957376913</v>
      </c>
      <c r="E49" s="1089">
        <f>IF('Mkt Pen Veh-Mi'!E49=0,1,1/((1-Fuel2ShrbyTech!E50)/'Inputs 7&amp;8 Sleep'!$Q62+Fuel2ShrbyTech!E50/'Inputs 7&amp;8 Sleep'!$W62))</f>
        <v>22.48362638561083</v>
      </c>
      <c r="F49" s="1089">
        <f>IF('Mkt Pen Veh-Mi'!F49=0,1,1/((1-Fuel2ShrbyTech!F50)/'Inputs 7&amp;8 Sleep'!$R62+Fuel2ShrbyTech!F50/'Inputs 7&amp;8 Sleep'!$X62))</f>
        <v>15.078899790226879</v>
      </c>
      <c r="G49" s="1090">
        <f>IF('Mkt Pen Veh-Mi'!G49=0,1,1/((1-Fuel2ShrbyTech!G50)/'Inputs 7&amp;8 Sleep'!$S62+Fuel2ShrbyTech!G50/'Inputs 7&amp;8 Sleep'!$Y62))</f>
        <v>16.823116723552282</v>
      </c>
      <c r="H49" s="1088">
        <f>IF('Mkt Pen Veh-Mi'!H49=0,1,1/((1-Fuel2ShrbyTech!H50)/'Inputs 7&amp;8 Day'!$N62+Fuel2ShrbyTech!H50/'Inputs 7&amp;8 Day'!$T62))</f>
        <v>7.3401213345993215</v>
      </c>
      <c r="I49" s="1089">
        <f>IF('Mkt Pen Veh-Mi'!I49=0,1,1/((1-Fuel2ShrbyTech!I50)/'Inputs 7&amp;8 Day'!$O62+Fuel2ShrbyTech!I50/'Inputs 7&amp;8 Day'!$U62))</f>
        <v>11.990050635610579</v>
      </c>
      <c r="J49" s="1089">
        <f>IF('Mkt Pen Veh-Mi'!J49=0,1,1/((1-Fuel2ShrbyTech!J50)/'Inputs 7&amp;8 Day'!$P62+Fuel2ShrbyTech!J50/'Inputs 7&amp;8 Day'!$V62))</f>
        <v>14.156787528683989</v>
      </c>
      <c r="K49" s="1089">
        <f>IF('Mkt Pen Veh-Mi'!K49=0,1,1/((1-Fuel2ShrbyTech!K50)/'Inputs 7&amp;8 Day'!$Q62+Fuel2ShrbyTech!K50/'Inputs 7&amp;8 Day'!$W62))</f>
        <v>25.195144727671686</v>
      </c>
      <c r="L49" s="1089">
        <f>IF('Mkt Pen Veh-Mi'!L49=0,1,1/((1-Fuel2ShrbyTech!L50)/'Inputs 7&amp;8 Day'!$R62+Fuel2ShrbyTech!L50/'Inputs 7&amp;8 Day'!$X62))</f>
        <v>16.763102196356137</v>
      </c>
      <c r="M49" s="1090">
        <f>IF('Mkt Pen Veh-Mi'!M49=0,1,1/((1-Fuel2ShrbyTech!M50)/'Inputs 7&amp;8 Day'!$S62+Fuel2ShrbyTech!M50/'Inputs 7&amp;8 Day'!$Y62))</f>
        <v>16.584547608552654</v>
      </c>
      <c r="N49" s="1088">
        <f>IF('Mkt Pen Veh-Mi'!N49=0,1,1/((1-Fuel2ShrbyTech!N50)/'Inputs 7&amp;8 SU'!$N62+Fuel2ShrbyTech!N50/'Inputs 7&amp;8 SU'!$T62))</f>
        <v>7.9033031638622333</v>
      </c>
      <c r="O49" s="1089">
        <f>IF('Mkt Pen Veh-Mi'!O49=0,1,1/((1-Fuel2ShrbyTech!O50)/'Inputs 7&amp;8 SU'!$O62+Fuel2ShrbyTech!O50/'Inputs 7&amp;8 SU'!$U62))</f>
        <v>10.059373294606686</v>
      </c>
      <c r="P49" s="1089">
        <f>IF('Mkt Pen Veh-Mi'!P49=0,1,1/((1-Fuel2ShrbyTech!P50)/'Inputs 7&amp;8 SU'!$P62+Fuel2ShrbyTech!P50/'Inputs 7&amp;8 SU'!$V62))</f>
        <v>13.111807676734912</v>
      </c>
      <c r="Q49" s="1089">
        <f>IF('Mkt Pen Veh-Mi'!Q49=0,1,1/((1-Fuel2ShrbyTech!Q50)/'Inputs 7&amp;8 SU'!$Q62+Fuel2ShrbyTech!Q50/'Inputs 7&amp;8 SU'!$W62))</f>
        <v>31.167360630341754</v>
      </c>
      <c r="R49" s="1089">
        <f>IF('Mkt Pen Veh-Mi'!R49=0,1,1/((1-Fuel2ShrbyTech!R50)/'Inputs 7&amp;8 SU'!$R62+Fuel2ShrbyTech!R50/'Inputs 7&amp;8 SU'!$X62))</f>
        <v>21.843090859021917</v>
      </c>
      <c r="S49" s="1090">
        <f>IF('Mkt Pen Veh-Mi'!S49=0,1,1/((1-Fuel2ShrbyTech!S50)/'Inputs 7&amp;8 SU'!$S62+Fuel2ShrbyTech!S50/'Inputs 7&amp;8 SU'!$Y62))</f>
        <v>24.835298403049613</v>
      </c>
      <c r="U49" s="1034">
        <f t="shared" si="13"/>
        <v>2047</v>
      </c>
      <c r="V49" s="1088">
        <f t="shared" si="14"/>
        <v>8.1044320169487083</v>
      </c>
      <c r="W49" s="1089">
        <f t="shared" si="15"/>
        <v>10.795187533547068</v>
      </c>
      <c r="X49" s="1089">
        <f t="shared" si="16"/>
        <v>12.83556957376913</v>
      </c>
      <c r="Y49" s="1089">
        <f t="shared" si="17"/>
        <v>22.48362638561083</v>
      </c>
      <c r="Z49" s="1089">
        <f t="shared" si="18"/>
        <v>15.078899790226879</v>
      </c>
      <c r="AA49" s="1090">
        <f t="shared" si="19"/>
        <v>16.823116723552282</v>
      </c>
      <c r="AB49" s="1088">
        <f t="shared" si="20"/>
        <v>7.3401213345993215</v>
      </c>
      <c r="AC49" s="1089">
        <f t="shared" si="21"/>
        <v>11.990050635610579</v>
      </c>
      <c r="AD49" s="1089">
        <f t="shared" si="22"/>
        <v>14.156787528683989</v>
      </c>
      <c r="AE49" s="1089">
        <f t="shared" si="23"/>
        <v>25.195144727671686</v>
      </c>
      <c r="AF49" s="1089">
        <f t="shared" si="24"/>
        <v>16.763102196356137</v>
      </c>
      <c r="AG49" s="1090">
        <f t="shared" si="25"/>
        <v>16.584547608552654</v>
      </c>
      <c r="AH49" s="1088">
        <f t="shared" si="26"/>
        <v>7.9033031638622333</v>
      </c>
      <c r="AI49" s="1089">
        <f t="shared" si="27"/>
        <v>10.059373294606686</v>
      </c>
      <c r="AJ49" s="1089">
        <f t="shared" si="28"/>
        <v>13.111807676734912</v>
      </c>
      <c r="AK49" s="1089">
        <f t="shared" si="29"/>
        <v>31.167360630341754</v>
      </c>
      <c r="AL49" s="1089">
        <f t="shared" si="30"/>
        <v>21.843090859021917</v>
      </c>
      <c r="AM49" s="1090">
        <f t="shared" si="31"/>
        <v>24.835298403049613</v>
      </c>
      <c r="AN49" s="1019">
        <v>2047</v>
      </c>
      <c r="AO49" s="1165">
        <f t="array" ref="AO49">1/SUMPRODUCT(IFERROR(1/V49:AA49,0),'Mkt Pen Veh-Mi'!B49:G49)</f>
        <v>12.855298055626378</v>
      </c>
      <c r="AP49" s="1166">
        <f t="array" ref="AP49">1/SUMPRODUCT(IFERROR(1/AB49:AG49,0),'Mkt Pen Veh-Mi'!H49:M49)</f>
        <v>11.860230095094032</v>
      </c>
      <c r="AQ49" s="1170">
        <f t="array" ref="AQ49">1/SUMPRODUCT(IFERROR(1/AH49:AM49,0),'Mkt Pen Veh-Mi'!N49:S49)</f>
        <v>13.425817426766759</v>
      </c>
      <c r="AR49" s="1163">
        <v>2047</v>
      </c>
      <c r="AS49" s="1165">
        <f t="shared" si="32"/>
        <v>1.586205921493602</v>
      </c>
      <c r="AT49" s="1166">
        <f t="shared" si="33"/>
        <v>1.6158084525371748</v>
      </c>
      <c r="AU49" s="1166">
        <f t="shared" si="34"/>
        <v>1.6987602712946861</v>
      </c>
      <c r="AV49" s="1170">
        <v>2.2883161082475314</v>
      </c>
    </row>
    <row r="50" spans="1:48" s="1019" customFormat="1" ht="15" x14ac:dyDescent="0.25">
      <c r="A50" s="1034">
        <v>2048</v>
      </c>
      <c r="B50" s="1088">
        <f>IF('Mkt Pen Veh-Mi'!B50=0,1,1/((1-Fuel2ShrbyTech!B51)/'Inputs 7&amp;8 Sleep'!$N63+Fuel2ShrbyTech!B51/'Inputs 7&amp;8 Sleep'!$T63))</f>
        <v>8.1044267226986744</v>
      </c>
      <c r="C50" s="1089">
        <f>IF('Mkt Pen Veh-Mi'!C50=0,1,1/((1-Fuel2ShrbyTech!C51)/'Inputs 7&amp;8 Sleep'!$O63+Fuel2ShrbyTech!C51/'Inputs 7&amp;8 Sleep'!$U63))</f>
        <v>10.870585948833176</v>
      </c>
      <c r="D50" s="1089">
        <f>IF('Mkt Pen Veh-Mi'!D50=0,1,1/((1-Fuel2ShrbyTech!D51)/'Inputs 7&amp;8 Sleep'!$P63+Fuel2ShrbyTech!D51/'Inputs 7&amp;8 Sleep'!$V63))</f>
        <v>12.962250088236397</v>
      </c>
      <c r="E50" s="1089">
        <f>IF('Mkt Pen Veh-Mi'!E50=0,1,1/((1-Fuel2ShrbyTech!E51)/'Inputs 7&amp;8 Sleep'!$Q63+Fuel2ShrbyTech!E51/'Inputs 7&amp;8 Sleep'!$W63))</f>
        <v>22.715274130987765</v>
      </c>
      <c r="F50" s="1089">
        <f>IF('Mkt Pen Veh-Mi'!F50=0,1,1/((1-Fuel2ShrbyTech!F51)/'Inputs 7&amp;8 Sleep'!$R63+Fuel2ShrbyTech!F51/'Inputs 7&amp;8 Sleep'!$X63))</f>
        <v>15.247064483376098</v>
      </c>
      <c r="G50" s="1090">
        <f>IF('Mkt Pen Veh-Mi'!G50=0,1,1/((1-Fuel2ShrbyTech!G51)/'Inputs 7&amp;8 Sleep'!$S63+Fuel2ShrbyTech!G51/'Inputs 7&amp;8 Sleep'!$Y63))</f>
        <v>17.15251638714739</v>
      </c>
      <c r="H50" s="1088">
        <f>IF('Mkt Pen Veh-Mi'!H50=0,1,1/((1-Fuel2ShrbyTech!H51)/'Inputs 7&amp;8 Day'!$N63+Fuel2ShrbyTech!H51/'Inputs 7&amp;8 Day'!$T63))</f>
        <v>7.3405375112326254</v>
      </c>
      <c r="I50" s="1089">
        <f>IF('Mkt Pen Veh-Mi'!I50=0,1,1/((1-Fuel2ShrbyTech!I51)/'Inputs 7&amp;8 Day'!$O63+Fuel2ShrbyTech!I51/'Inputs 7&amp;8 Day'!$U63))</f>
        <v>12.074978006402196</v>
      </c>
      <c r="J50" s="1089">
        <f>IF('Mkt Pen Veh-Mi'!J50=0,1,1/((1-Fuel2ShrbyTech!J51)/'Inputs 7&amp;8 Day'!$P63+Fuel2ShrbyTech!J51/'Inputs 7&amp;8 Day'!$V63))</f>
        <v>14.297327954621846</v>
      </c>
      <c r="K50" s="1089">
        <f>IF('Mkt Pen Veh-Mi'!K50=0,1,1/((1-Fuel2ShrbyTech!K51)/'Inputs 7&amp;8 Day'!$Q63+Fuel2ShrbyTech!K51/'Inputs 7&amp;8 Day'!$W63))</f>
        <v>25.443383033593271</v>
      </c>
      <c r="L50" s="1089">
        <f>IF('Mkt Pen Veh-Mi'!L50=0,1,1/((1-Fuel2ShrbyTech!L51)/'Inputs 7&amp;8 Day'!$R63+Fuel2ShrbyTech!L51/'Inputs 7&amp;8 Day'!$X63))</f>
        <v>16.944447906960708</v>
      </c>
      <c r="M50" s="1090">
        <f>IF('Mkt Pen Veh-Mi'!M50=0,1,1/((1-Fuel2ShrbyTech!M51)/'Inputs 7&amp;8 Day'!$S63+Fuel2ShrbyTech!M51/'Inputs 7&amp;8 Day'!$Y63))</f>
        <v>16.837204679423241</v>
      </c>
      <c r="N50" s="1088">
        <f>IF('Mkt Pen Veh-Mi'!N50=0,1,1/((1-Fuel2ShrbyTech!N51)/'Inputs 7&amp;8 SU'!$N63+Fuel2ShrbyTech!N51/'Inputs 7&amp;8 SU'!$T63))</f>
        <v>7.907855990946878</v>
      </c>
      <c r="O50" s="1089">
        <f>IF('Mkt Pen Veh-Mi'!O50=0,1,1/((1-Fuel2ShrbyTech!O51)/'Inputs 7&amp;8 SU'!$O63+Fuel2ShrbyTech!O51/'Inputs 7&amp;8 SU'!$U63))</f>
        <v>10.140968687265303</v>
      </c>
      <c r="P50" s="1089">
        <f>IF('Mkt Pen Veh-Mi'!P50=0,1,1/((1-Fuel2ShrbyTech!P51)/'Inputs 7&amp;8 SU'!$P63+Fuel2ShrbyTech!P51/'Inputs 7&amp;8 SU'!$V63))</f>
        <v>13.228572592297162</v>
      </c>
      <c r="Q50" s="1089">
        <f>IF('Mkt Pen Veh-Mi'!Q50=0,1,1/((1-Fuel2ShrbyTech!Q51)/'Inputs 7&amp;8 SU'!$Q63+Fuel2ShrbyTech!Q51/'Inputs 7&amp;8 SU'!$W63))</f>
        <v>31.370670223969778</v>
      </c>
      <c r="R50" s="1089">
        <f>IF('Mkt Pen Veh-Mi'!R50=0,1,1/((1-Fuel2ShrbyTech!R51)/'Inputs 7&amp;8 SU'!$R63+Fuel2ShrbyTech!R51/'Inputs 7&amp;8 SU'!$X63))</f>
        <v>22.031360814257649</v>
      </c>
      <c r="S50" s="1090">
        <f>IF('Mkt Pen Veh-Mi'!S50=0,1,1/((1-Fuel2ShrbyTech!S51)/'Inputs 7&amp;8 SU'!$S63+Fuel2ShrbyTech!S51/'Inputs 7&amp;8 SU'!$Y63))</f>
        <v>25.327808753287677</v>
      </c>
      <c r="U50" s="1034">
        <f t="shared" si="13"/>
        <v>2048</v>
      </c>
      <c r="V50" s="1088">
        <f t="shared" si="14"/>
        <v>8.1044267226986744</v>
      </c>
      <c r="W50" s="1089">
        <f t="shared" si="15"/>
        <v>10.870585948833176</v>
      </c>
      <c r="X50" s="1089">
        <f t="shared" si="16"/>
        <v>12.962250088236397</v>
      </c>
      <c r="Y50" s="1089">
        <f t="shared" si="17"/>
        <v>22.715274130987765</v>
      </c>
      <c r="Z50" s="1089">
        <f t="shared" si="18"/>
        <v>15.247064483376098</v>
      </c>
      <c r="AA50" s="1090">
        <f t="shared" si="19"/>
        <v>17.15251638714739</v>
      </c>
      <c r="AB50" s="1088">
        <f t="shared" si="20"/>
        <v>7.3405375112326254</v>
      </c>
      <c r="AC50" s="1089">
        <f t="shared" si="21"/>
        <v>12.074978006402196</v>
      </c>
      <c r="AD50" s="1089">
        <f t="shared" si="22"/>
        <v>14.297327954621846</v>
      </c>
      <c r="AE50" s="1089">
        <f t="shared" si="23"/>
        <v>25.443383033593271</v>
      </c>
      <c r="AF50" s="1089">
        <f t="shared" si="24"/>
        <v>16.944447906960708</v>
      </c>
      <c r="AG50" s="1090">
        <f t="shared" si="25"/>
        <v>16.837204679423241</v>
      </c>
      <c r="AH50" s="1088">
        <f t="shared" si="26"/>
        <v>7.907855990946878</v>
      </c>
      <c r="AI50" s="1089">
        <f t="shared" si="27"/>
        <v>10.140968687265303</v>
      </c>
      <c r="AJ50" s="1089">
        <f t="shared" si="28"/>
        <v>13.228572592297162</v>
      </c>
      <c r="AK50" s="1089">
        <f t="shared" si="29"/>
        <v>31.370670223969778</v>
      </c>
      <c r="AL50" s="1089">
        <f t="shared" si="30"/>
        <v>22.031360814257649</v>
      </c>
      <c r="AM50" s="1090">
        <f t="shared" si="31"/>
        <v>25.327808753287677</v>
      </c>
      <c r="AN50" s="1019">
        <v>2048</v>
      </c>
      <c r="AO50" s="1165">
        <f t="array" ref="AO50">1/SUMPRODUCT(IFERROR(1/V50:AA50,0),'Mkt Pen Veh-Mi'!B50:G50)</f>
        <v>13.236771473547366</v>
      </c>
      <c r="AP50" s="1166">
        <f t="array" ref="AP50">1/SUMPRODUCT(IFERROR(1/AB50:AG50,0),'Mkt Pen Veh-Mi'!H50:M50)</f>
        <v>12.026175393699013</v>
      </c>
      <c r="AQ50" s="1170">
        <f t="array" ref="AQ50">1/SUMPRODUCT(IFERROR(1/AH50:AM50,0),'Mkt Pen Veh-Mi'!N50:S50)</f>
        <v>13.928062946316347</v>
      </c>
      <c r="AR50" s="1163">
        <v>2048</v>
      </c>
      <c r="AS50" s="1165">
        <f t="shared" si="32"/>
        <v>1.6332767173369771</v>
      </c>
      <c r="AT50" s="1166">
        <f t="shared" si="33"/>
        <v>1.638323539018272</v>
      </c>
      <c r="AU50" s="1166">
        <f t="shared" si="34"/>
        <v>1.761294459871495</v>
      </c>
      <c r="AV50" s="1170">
        <v>2.2967875867465612</v>
      </c>
    </row>
    <row r="51" spans="1:48" s="1019" customFormat="1" ht="15" x14ac:dyDescent="0.25">
      <c r="A51" s="1034">
        <v>2049</v>
      </c>
      <c r="B51" s="1088">
        <f>IF('Mkt Pen Veh-Mi'!B51=0,1,1/((1-Fuel2ShrbyTech!B52)/'Inputs 7&amp;8 Sleep'!$N64+Fuel2ShrbyTech!B52/'Inputs 7&amp;8 Sleep'!$T64))</f>
        <v>8.1044227545263041</v>
      </c>
      <c r="C51" s="1089">
        <f>IF('Mkt Pen Veh-Mi'!C51=0,1,1/((1-Fuel2ShrbyTech!C52)/'Inputs 7&amp;8 Sleep'!$O64+Fuel2ShrbyTech!C52/'Inputs 7&amp;8 Sleep'!$U64))</f>
        <v>10.919250528307002</v>
      </c>
      <c r="D51" s="1089">
        <f>IF('Mkt Pen Veh-Mi'!D51=0,1,1/((1-Fuel2ShrbyTech!D52)/'Inputs 7&amp;8 Sleep'!$P64+Fuel2ShrbyTech!D52/'Inputs 7&amp;8 Sleep'!$V64))</f>
        <v>13.044013795612525</v>
      </c>
      <c r="E51" s="1089">
        <f>IF('Mkt Pen Veh-Mi'!E51=0,1,1/((1-Fuel2ShrbyTech!E52)/'Inputs 7&amp;8 Sleep'!$Q64+Fuel2ShrbyTech!E52/'Inputs 7&amp;8 Sleep'!$W64))</f>
        <v>22.864787089211767</v>
      </c>
      <c r="F51" s="1089">
        <f>IF('Mkt Pen Veh-Mi'!F51=0,1,1/((1-Fuel2ShrbyTech!F52)/'Inputs 7&amp;8 Sleep'!$R64+Fuel2ShrbyTech!F52/'Inputs 7&amp;8 Sleep'!$X64))</f>
        <v>15.355603423397561</v>
      </c>
      <c r="G51" s="1090">
        <f>IF('Mkt Pen Veh-Mi'!G51=0,1,1/((1-Fuel2ShrbyTech!G52)/'Inputs 7&amp;8 Sleep'!$S64+Fuel2ShrbyTech!G52/'Inputs 7&amp;8 Sleep'!$Y64))</f>
        <v>17.347329880830586</v>
      </c>
      <c r="H51" s="1088">
        <f>IF('Mkt Pen Veh-Mi'!H51=0,1,1/((1-Fuel2ShrbyTech!H52)/'Inputs 7&amp;8 Day'!$N64+Fuel2ShrbyTech!H52/'Inputs 7&amp;8 Day'!$T64))</f>
        <v>7.3409536878659303</v>
      </c>
      <c r="I51" s="1089">
        <f>IF('Mkt Pen Veh-Mi'!I51=0,1,1/((1-Fuel2ShrbyTech!I52)/'Inputs 7&amp;8 Day'!$O64+Fuel2ShrbyTech!I52/'Inputs 7&amp;8 Day'!$U64))</f>
        <v>12.129792882413961</v>
      </c>
      <c r="J51" s="1089">
        <f>IF('Mkt Pen Veh-Mi'!J51=0,1,1/((1-Fuel2ShrbyTech!J52)/'Inputs 7&amp;8 Day'!$P64+Fuel2ShrbyTech!J52/'Inputs 7&amp;8 Day'!$V64))</f>
        <v>14.388037297800814</v>
      </c>
      <c r="K51" s="1089">
        <f>IF('Mkt Pen Veh-Mi'!K51=0,1,1/((1-Fuel2ShrbyTech!K52)/'Inputs 7&amp;8 Day'!$Q64+Fuel2ShrbyTech!K52/'Inputs 7&amp;8 Day'!$W64))</f>
        <v>25.603604076981629</v>
      </c>
      <c r="L51" s="1089">
        <f>IF('Mkt Pen Veh-Mi'!L51=0,1,1/((1-Fuel2ShrbyTech!L52)/'Inputs 7&amp;8 Day'!$R64+Fuel2ShrbyTech!L52/'Inputs 7&amp;8 Day'!$X64))</f>
        <v>17.061494302597339</v>
      </c>
      <c r="M51" s="1090">
        <f>IF('Mkt Pen Veh-Mi'!M51=0,1,1/((1-Fuel2ShrbyTech!M52)/'Inputs 7&amp;8 Day'!$S64+Fuel2ShrbyTech!M52/'Inputs 7&amp;8 Day'!$Y64))</f>
        <v>17.004167749503356</v>
      </c>
      <c r="N51" s="1088">
        <f>IF('Mkt Pen Veh-Mi'!N51=0,1,1/((1-Fuel2ShrbyTech!N52)/'Inputs 7&amp;8 SU'!$N64+Fuel2ShrbyTech!N52/'Inputs 7&amp;8 SU'!$T64))</f>
        <v>7.9130968993474102</v>
      </c>
      <c r="O51" s="1089">
        <f>IF('Mkt Pen Veh-Mi'!O51=0,1,1/((1-Fuel2ShrbyTech!O52)/'Inputs 7&amp;8 SU'!$O64+Fuel2ShrbyTech!O52/'Inputs 7&amp;8 SU'!$U64))</f>
        <v>10.2002981317105</v>
      </c>
      <c r="P51" s="1089">
        <f>IF('Mkt Pen Veh-Mi'!P51=0,1,1/((1-Fuel2ShrbyTech!P52)/'Inputs 7&amp;8 SU'!$P64+Fuel2ShrbyTech!P52/'Inputs 7&amp;8 SU'!$V64))</f>
        <v>13.313474415124132</v>
      </c>
      <c r="Q51" s="1089">
        <f>IF('Mkt Pen Veh-Mi'!Q51=0,1,1/((1-Fuel2ShrbyTech!Q52)/'Inputs 7&amp;8 SU'!$Q64+Fuel2ShrbyTech!Q52/'Inputs 7&amp;8 SU'!$W64))</f>
        <v>31.518500203669699</v>
      </c>
      <c r="R51" s="1089">
        <f>IF('Mkt Pen Veh-Mi'!R51=0,1,1/((1-Fuel2ShrbyTech!R52)/'Inputs 7&amp;8 SU'!$R64+Fuel2ShrbyTech!R52/'Inputs 7&amp;8 SU'!$X64))</f>
        <v>22.168255208486393</v>
      </c>
      <c r="S51" s="1090">
        <f>IF('Mkt Pen Veh-Mi'!S51=0,1,1/((1-Fuel2ShrbyTech!S52)/'Inputs 7&amp;8 SU'!$S64+Fuel2ShrbyTech!S52/'Inputs 7&amp;8 SU'!$Y64))</f>
        <v>25.586562702206738</v>
      </c>
      <c r="U51" s="1034">
        <f t="shared" si="13"/>
        <v>2049</v>
      </c>
      <c r="V51" s="1088">
        <f t="shared" si="14"/>
        <v>8.1044227545263041</v>
      </c>
      <c r="W51" s="1089">
        <f t="shared" si="15"/>
        <v>10.919250528307002</v>
      </c>
      <c r="X51" s="1089">
        <f t="shared" si="16"/>
        <v>13.044013795612525</v>
      </c>
      <c r="Y51" s="1089">
        <f t="shared" si="17"/>
        <v>22.864787089211767</v>
      </c>
      <c r="Z51" s="1089">
        <f t="shared" si="18"/>
        <v>15.355603423397561</v>
      </c>
      <c r="AA51" s="1090">
        <f t="shared" si="19"/>
        <v>17.347329880830586</v>
      </c>
      <c r="AB51" s="1088">
        <f t="shared" si="20"/>
        <v>7.3409536878659303</v>
      </c>
      <c r="AC51" s="1089">
        <f t="shared" si="21"/>
        <v>12.129792882413961</v>
      </c>
      <c r="AD51" s="1089">
        <f t="shared" si="22"/>
        <v>14.388037297800814</v>
      </c>
      <c r="AE51" s="1089">
        <f t="shared" si="23"/>
        <v>25.603604076981629</v>
      </c>
      <c r="AF51" s="1089">
        <f t="shared" si="24"/>
        <v>17.061494302597339</v>
      </c>
      <c r="AG51" s="1090">
        <f t="shared" si="25"/>
        <v>17.004167749503356</v>
      </c>
      <c r="AH51" s="1088">
        <f t="shared" si="26"/>
        <v>7.9130968993474102</v>
      </c>
      <c r="AI51" s="1089">
        <f t="shared" si="27"/>
        <v>10.2002981317105</v>
      </c>
      <c r="AJ51" s="1089">
        <f t="shared" si="28"/>
        <v>13.313474415124132</v>
      </c>
      <c r="AK51" s="1089">
        <f t="shared" si="29"/>
        <v>31.518500203669699</v>
      </c>
      <c r="AL51" s="1089">
        <f t="shared" si="30"/>
        <v>22.168255208486393</v>
      </c>
      <c r="AM51" s="1090">
        <f t="shared" si="31"/>
        <v>25.586562702206738</v>
      </c>
      <c r="AN51" s="1019">
        <v>2049</v>
      </c>
      <c r="AO51" s="1165">
        <f t="array" ref="AO51">1/SUMPRODUCT(IFERROR(1/V51:AA51,0),'Mkt Pen Veh-Mi'!B51:G51)</f>
        <v>13.476503154916326</v>
      </c>
      <c r="AP51" s="1166">
        <f t="array" ref="AP51">1/SUMPRODUCT(IFERROR(1/AB51:AG51,0),'Mkt Pen Veh-Mi'!H51:M51)</f>
        <v>12.166045374197951</v>
      </c>
      <c r="AQ51" s="1170">
        <f t="array" ref="AQ51">1/SUMPRODUCT(IFERROR(1/AH51:AM51,0),'Mkt Pen Veh-Mi'!N51:S51)</f>
        <v>14.30987105525908</v>
      </c>
      <c r="AR51" s="1163">
        <v>2049</v>
      </c>
      <c r="AS51" s="1165">
        <f t="shared" si="32"/>
        <v>1.6628578694750007</v>
      </c>
      <c r="AT51" s="1166">
        <f t="shared" si="33"/>
        <v>1.657284038490469</v>
      </c>
      <c r="AU51" s="1166">
        <f t="shared" si="34"/>
        <v>1.808378089801884</v>
      </c>
      <c r="AV51" s="1170">
        <v>2.3322687300900027</v>
      </c>
    </row>
    <row r="52" spans="1:48" s="1019" customFormat="1" ht="15.75" thickBot="1" x14ac:dyDescent="0.3">
      <c r="A52" s="1047">
        <v>2050</v>
      </c>
      <c r="B52" s="1100">
        <f>IF('Mkt Pen Veh-Mi'!B52=0,1,1/((1-Fuel2ShrbyTech!B53)/'Inputs 7&amp;8 Sleep'!$N65+Fuel2ShrbyTech!B53/'Inputs 7&amp;8 Sleep'!$T65))</f>
        <v>8.1044081378346959</v>
      </c>
      <c r="C52" s="1101">
        <f>IF('Mkt Pen Veh-Mi'!C52=0,1,1/((1-Fuel2ShrbyTech!C53)/'Inputs 7&amp;8 Sleep'!$O65+Fuel2ShrbyTech!C53/'Inputs 7&amp;8 Sleep'!$U65))</f>
        <v>10.999062312342126</v>
      </c>
      <c r="D52" s="1101">
        <f>IF('Mkt Pen Veh-Mi'!D52=0,1,1/((1-Fuel2ShrbyTech!D53)/'Inputs 7&amp;8 Sleep'!$P65+Fuel2ShrbyTech!D53/'Inputs 7&amp;8 Sleep'!$V65))</f>
        <v>13.178109423799851</v>
      </c>
      <c r="E52" s="1101">
        <f>IF('Mkt Pen Veh-Mi'!E52=0,1,1/((1-Fuel2ShrbyTech!E53)/'Inputs 7&amp;8 Sleep'!$Q65+Fuel2ShrbyTech!E53/'Inputs 7&amp;8 Sleep'!$W65))</f>
        <v>23.109994097291334</v>
      </c>
      <c r="F52" s="1101">
        <f>IF('Mkt Pen Veh-Mi'!F52=0,1,1/((1-Fuel2ShrbyTech!F53)/'Inputs 7&amp;8 Sleep'!$R65+Fuel2ShrbyTech!F53/'Inputs 7&amp;8 Sleep'!$X65))</f>
        <v>15.533611464031161</v>
      </c>
      <c r="G52" s="1102">
        <f>IF('Mkt Pen Veh-Mi'!G52=0,1,1/((1-Fuel2ShrbyTech!G53)/'Inputs 7&amp;8 Sleep'!$S65+Fuel2ShrbyTech!G53/'Inputs 7&amp;8 Sleep'!$Y65))</f>
        <v>17.645296172294241</v>
      </c>
      <c r="H52" s="1100">
        <f>IF('Mkt Pen Veh-Mi'!H52=0,1,1/((1-Fuel2ShrbyTech!H53)/'Inputs 7&amp;8 Day'!$N65+Fuel2ShrbyTech!H53/'Inputs 7&amp;8 Day'!$T65))</f>
        <v>7.341369864499236</v>
      </c>
      <c r="I52" s="1101">
        <f>IF('Mkt Pen Veh-Mi'!I52=0,1,1/((1-Fuel2ShrbyTech!I53)/'Inputs 7&amp;8 Day'!$O65+Fuel2ShrbyTech!I53/'Inputs 7&amp;8 Day'!$U65))</f>
        <v>12.219691389571851</v>
      </c>
      <c r="J52" s="1101">
        <f>IF('Mkt Pen Veh-Mi'!J52=0,1,1/((1-Fuel2ShrbyTech!J53)/'Inputs 7&amp;8 Day'!$P65+Fuel2ShrbyTech!J53/'Inputs 7&amp;8 Day'!$V65))</f>
        <v>14.536804113132318</v>
      </c>
      <c r="K52" s="1101">
        <f>IF('Mkt Pen Veh-Mi'!K52=0,1,1/((1-Fuel2ShrbyTech!K53)/'Inputs 7&amp;8 Day'!$Q65+Fuel2ShrbyTech!K53/'Inputs 7&amp;8 Day'!$W65))</f>
        <v>25.866372757016599</v>
      </c>
      <c r="L52" s="1101">
        <f>IF('Mkt Pen Veh-Mi'!L52=0,1,1/((1-Fuel2ShrbyTech!L53)/'Inputs 7&amp;8 Day'!$R65+Fuel2ShrbyTech!L53/'Inputs 7&amp;8 Day'!$X65))</f>
        <v>17.253454897996413</v>
      </c>
      <c r="M52" s="1102">
        <f>IF('Mkt Pen Veh-Mi'!M52=0,1,1/((1-Fuel2ShrbyTech!M53)/'Inputs 7&amp;8 Day'!$S65+Fuel2ShrbyTech!M53/'Inputs 7&amp;8 Day'!$Y65))</f>
        <v>17.265952601958073</v>
      </c>
      <c r="N52" s="1100">
        <f>IF('Mkt Pen Veh-Mi'!N52=0,1,1/((1-Fuel2ShrbyTech!N53)/'Inputs 7&amp;8 SU'!$N65+Fuel2ShrbyTech!N53/'Inputs 7&amp;8 SU'!$T65))</f>
        <v>7.9191617011641311</v>
      </c>
      <c r="O52" s="1101">
        <f>IF('Mkt Pen Veh-Mi'!O52=0,1,1/((1-Fuel2ShrbyTech!O53)/'Inputs 7&amp;8 SU'!$O65+Fuel2ShrbyTech!O53/'Inputs 7&amp;8 SU'!$U65))</f>
        <v>10.33429574222024</v>
      </c>
      <c r="P52" s="1101">
        <f>IF('Mkt Pen Veh-Mi'!P52=0,1,1/((1-Fuel2ShrbyTech!P53)/'Inputs 7&amp;8 SU'!$P65+Fuel2ShrbyTech!P53/'Inputs 7&amp;8 SU'!$V65))</f>
        <v>13.50522813021653</v>
      </c>
      <c r="Q52" s="1101">
        <f>IF('Mkt Pen Veh-Mi'!Q52=0,1,1/((1-Fuel2ShrbyTech!Q53)/'Inputs 7&amp;8 SU'!$Q65+Fuel2ShrbyTech!Q53/'Inputs 7&amp;8 SU'!$W65))</f>
        <v>31.852379346256136</v>
      </c>
      <c r="R52" s="1101">
        <f>IF('Mkt Pen Veh-Mi'!R52=0,1,1/((1-Fuel2ShrbyTech!R53)/'Inputs 7&amp;8 SU'!$R65+Fuel2ShrbyTech!R53/'Inputs 7&amp;8 SU'!$X65))</f>
        <v>22.477435951545168</v>
      </c>
      <c r="S52" s="1102">
        <f>IF('Mkt Pen Veh-Mi'!S52=0,1,1/((1-Fuel2ShrbyTech!S53)/'Inputs 7&amp;8 SU'!$S65+Fuel2ShrbyTech!S53/'Inputs 7&amp;8 SU'!$Y65))</f>
        <v>26.142502395315383</v>
      </c>
      <c r="U52" s="1047">
        <f t="shared" si="13"/>
        <v>2050</v>
      </c>
      <c r="V52" s="1100">
        <f t="shared" si="14"/>
        <v>8.1044081378346959</v>
      </c>
      <c r="W52" s="1101">
        <f t="shared" si="15"/>
        <v>10.999062312342126</v>
      </c>
      <c r="X52" s="1101">
        <f t="shared" si="16"/>
        <v>13.178109423799851</v>
      </c>
      <c r="Y52" s="1101">
        <f t="shared" si="17"/>
        <v>23.109994097291334</v>
      </c>
      <c r="Z52" s="1101">
        <f t="shared" si="18"/>
        <v>15.533611464031161</v>
      </c>
      <c r="AA52" s="1102">
        <f t="shared" si="19"/>
        <v>17.645296172294241</v>
      </c>
      <c r="AB52" s="1100">
        <f t="shared" si="20"/>
        <v>7.341369864499236</v>
      </c>
      <c r="AC52" s="1101">
        <f t="shared" si="21"/>
        <v>12.219691389571851</v>
      </c>
      <c r="AD52" s="1101">
        <f t="shared" si="22"/>
        <v>14.536804113132318</v>
      </c>
      <c r="AE52" s="1101">
        <f t="shared" si="23"/>
        <v>25.866372757016599</v>
      </c>
      <c r="AF52" s="1101">
        <f t="shared" si="24"/>
        <v>17.253454897996413</v>
      </c>
      <c r="AG52" s="1102">
        <f t="shared" si="25"/>
        <v>17.265952601958073</v>
      </c>
      <c r="AH52" s="1100">
        <f t="shared" si="26"/>
        <v>7.9191617011641311</v>
      </c>
      <c r="AI52" s="1101">
        <f t="shared" si="27"/>
        <v>10.33429574222024</v>
      </c>
      <c r="AJ52" s="1101">
        <f t="shared" si="28"/>
        <v>13.50522813021653</v>
      </c>
      <c r="AK52" s="1101">
        <f t="shared" si="29"/>
        <v>31.852379346256136</v>
      </c>
      <c r="AL52" s="1101">
        <f t="shared" si="30"/>
        <v>22.477435951545168</v>
      </c>
      <c r="AM52" s="1102">
        <f t="shared" si="31"/>
        <v>26.142502395315383</v>
      </c>
      <c r="AN52" s="1019">
        <v>2050</v>
      </c>
      <c r="AO52" s="1167">
        <f t="array" ref="AO52">1/SUMPRODUCT(IFERROR(1/V52:AA52,0),'Mkt Pen Veh-Mi'!B52:G52)</f>
        <v>13.809457908782818</v>
      </c>
      <c r="AP52" s="1168">
        <f t="array" ref="AP52">1/SUMPRODUCT(IFERROR(1/AB52:AG52,0),'Mkt Pen Veh-Mi'!H52:M52)</f>
        <v>12.324853411519115</v>
      </c>
      <c r="AQ52" s="1177">
        <f t="array" ref="AQ52">1/SUMPRODUCT(IFERROR(1/AH52:AM52,0),'Mkt Pen Veh-Mi'!N52:S52)</f>
        <v>15.167247351626301</v>
      </c>
      <c r="AR52" s="1163">
        <v>2050</v>
      </c>
      <c r="AS52" s="1174">
        <f t="shared" si="32"/>
        <v>1.703944035631006</v>
      </c>
      <c r="AT52" s="1175">
        <f t="shared" si="33"/>
        <v>1.6788220235461204</v>
      </c>
      <c r="AU52" s="1175">
        <f t="shared" si="34"/>
        <v>1.9152592059582125</v>
      </c>
      <c r="AV52" s="1176">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B1" zoomScale="85" zoomScaleNormal="85" workbookViewId="0">
      <selection activeCell="Q66" sqref="Q66"/>
    </sheetView>
  </sheetViews>
  <sheetFormatPr defaultColWidth="9.140625" defaultRowHeight="12.75" x14ac:dyDescent="0.2"/>
  <cols>
    <col min="1" max="7" width="9.140625" style="343"/>
    <col min="8" max="8" width="11.42578125" style="343" customWidth="1"/>
    <col min="9" max="10" width="9.140625" style="343"/>
    <col min="11" max="11" width="10.5703125" style="343" bestFit="1" customWidth="1"/>
    <col min="12" max="13" width="9.140625" style="343"/>
    <col min="14" max="14" width="11.7109375" style="343" bestFit="1" customWidth="1"/>
    <col min="15" max="15" width="9.140625" style="343"/>
    <col min="16" max="16" width="9.140625" style="974"/>
    <col min="17" max="17" width="11.7109375" style="343" customWidth="1"/>
    <col min="18" max="18" width="12" style="343" customWidth="1"/>
    <col min="19" max="19" width="18" style="343" customWidth="1"/>
    <col min="20" max="20" width="9.140625" style="343"/>
    <col min="21" max="21" width="13" style="343" customWidth="1"/>
    <col min="22" max="22" width="14.140625" style="343" customWidth="1"/>
    <col min="23" max="24" width="9.140625" style="343"/>
    <col min="25" max="25" width="11.140625" style="343" customWidth="1"/>
    <col min="26" max="16384" width="9.140625" style="343"/>
  </cols>
  <sheetData>
    <row r="1" spans="1:31" ht="15.75" thickBot="1" x14ac:dyDescent="0.3">
      <c r="A1" s="1146" t="s">
        <v>288</v>
      </c>
    </row>
    <row r="2" spans="1:31" x14ac:dyDescent="0.2">
      <c r="M2" s="1608" t="s">
        <v>359</v>
      </c>
      <c r="N2" s="1609"/>
    </row>
    <row r="3" spans="1:31" x14ac:dyDescent="0.2">
      <c r="M3" s="1610"/>
      <c r="N3" s="1611"/>
      <c r="P3" s="974" t="s">
        <v>352</v>
      </c>
    </row>
    <row r="4" spans="1:31" x14ac:dyDescent="0.2">
      <c r="M4" s="970" t="s">
        <v>291</v>
      </c>
      <c r="N4" s="971">
        <v>4</v>
      </c>
    </row>
    <row r="5" spans="1:31" x14ac:dyDescent="0.2">
      <c r="M5" s="970" t="s">
        <v>292</v>
      </c>
      <c r="N5" s="971">
        <v>0.5</v>
      </c>
      <c r="P5" s="975" t="s">
        <v>286</v>
      </c>
      <c r="Q5" s="418" t="s">
        <v>287</v>
      </c>
      <c r="W5" s="958"/>
    </row>
    <row r="6" spans="1:31" ht="13.5" thickBot="1" x14ac:dyDescent="0.25">
      <c r="J6" s="343" t="s">
        <v>443</v>
      </c>
      <c r="M6" s="972" t="s">
        <v>293</v>
      </c>
      <c r="N6" s="973">
        <v>1</v>
      </c>
      <c r="P6" s="974" t="s">
        <v>326</v>
      </c>
      <c r="Q6" s="343">
        <v>2</v>
      </c>
    </row>
    <row r="7" spans="1:31" ht="13.5" thickBot="1" x14ac:dyDescent="0.25">
      <c r="J7" s="1222" t="b">
        <v>0</v>
      </c>
      <c r="K7" s="1222" t="b">
        <v>0</v>
      </c>
      <c r="P7" s="976" t="s">
        <v>3</v>
      </c>
      <c r="Q7" s="959" t="s">
        <v>6</v>
      </c>
      <c r="R7" s="959" t="s">
        <v>282</v>
      </c>
      <c r="S7" s="959" t="s">
        <v>283</v>
      </c>
      <c r="T7" s="959" t="s">
        <v>284</v>
      </c>
      <c r="U7" s="959" t="s">
        <v>207</v>
      </c>
      <c r="V7" s="959" t="s">
        <v>285</v>
      </c>
      <c r="W7" s="959" t="s">
        <v>1</v>
      </c>
      <c r="X7" s="959" t="s">
        <v>50</v>
      </c>
      <c r="Y7" s="385" t="s">
        <v>0</v>
      </c>
      <c r="Z7" s="1194" t="s">
        <v>403</v>
      </c>
      <c r="AD7" s="343" t="s">
        <v>6</v>
      </c>
      <c r="AE7" s="343" t="s">
        <v>207</v>
      </c>
    </row>
    <row r="8" spans="1:31" ht="13.5" thickBot="1" x14ac:dyDescent="0.25">
      <c r="B8" s="1011"/>
      <c r="C8" s="1006" t="str">
        <f t="array" ref="C8:K8">Fuels</f>
        <v>LPG</v>
      </c>
      <c r="D8" s="1006" t="str">
        <v>E85</v>
      </c>
      <c r="E8" s="1006" t="str">
        <v>Gasoline</v>
      </c>
      <c r="F8" s="1006" t="str">
        <v>Jet Fuel</v>
      </c>
      <c r="G8" s="1006" t="str">
        <v>Diesel</v>
      </c>
      <c r="H8" s="1006" t="str">
        <v>Residual Fuel Oil</v>
      </c>
      <c r="I8" s="1006" t="str">
        <v>CNG</v>
      </c>
      <c r="J8" s="1336" t="str">
        <v>Electricity</v>
      </c>
      <c r="K8" s="1337" t="str">
        <v>Hydrogen</v>
      </c>
      <c r="M8" s="343" t="s">
        <v>289</v>
      </c>
      <c r="N8" s="343" t="s">
        <v>290</v>
      </c>
      <c r="P8" s="977">
        <v>1992</v>
      </c>
      <c r="Q8" s="960"/>
      <c r="R8" s="960">
        <v>3297</v>
      </c>
      <c r="S8" s="960">
        <v>43</v>
      </c>
      <c r="T8" s="960"/>
      <c r="U8" s="960"/>
      <c r="V8" s="960"/>
      <c r="W8" s="960">
        <v>349</v>
      </c>
      <c r="X8" s="960">
        <v>2</v>
      </c>
      <c r="Y8" s="969"/>
      <c r="AC8" s="343">
        <v>1992</v>
      </c>
      <c r="AD8" s="1144" t="e">
        <f>Table1[[#This Row],[Electricity]]/Table1[[#This Row],[Gasoline]]</f>
        <v>#DIV/0!</v>
      </c>
      <c r="AE8" s="1144" t="e">
        <f>Table1[[#This Row],[Hydrogen]]/Table1[[#This Row],[Gasoline]]</f>
        <v>#DIV/0!</v>
      </c>
    </row>
    <row r="9" spans="1:31" x14ac:dyDescent="0.2">
      <c r="B9" s="1003">
        <v>2007</v>
      </c>
      <c r="C9" s="1007">
        <v>1</v>
      </c>
      <c r="D9" s="1008">
        <v>1</v>
      </c>
      <c r="E9" s="1008">
        <v>1</v>
      </c>
      <c r="F9" s="1008">
        <v>1</v>
      </c>
      <c r="G9" s="1008">
        <v>1</v>
      </c>
      <c r="H9" s="1008">
        <v>1</v>
      </c>
      <c r="I9" s="1008">
        <v>1</v>
      </c>
      <c r="J9" s="1147">
        <f t="shared" ref="J9:J52" si="0">IF(J$7,VLOOKUP(Q23/Y23,$M$9:$N$109,2),1)</f>
        <v>1</v>
      </c>
      <c r="K9" s="1148">
        <f t="shared" ref="K9:K52" si="1">IF(K$7,VLOOKUP(U23/Y23,$M$9:$N$109,2),1)</f>
        <v>1</v>
      </c>
      <c r="M9" s="1145">
        <v>0</v>
      </c>
      <c r="N9" s="1130">
        <f t="shared" ref="N9:N40" si="2">WEIBULL(M9,$N$4,$N$5,$N$6)</f>
        <v>0</v>
      </c>
      <c r="P9" s="977">
        <v>1993</v>
      </c>
      <c r="Q9" s="960"/>
      <c r="R9" s="960">
        <v>3297</v>
      </c>
      <c r="S9" s="960">
        <v>50</v>
      </c>
      <c r="T9" s="960"/>
      <c r="U9" s="960"/>
      <c r="V9" s="960"/>
      <c r="W9" s="960">
        <v>497</v>
      </c>
      <c r="X9" s="960">
        <v>7</v>
      </c>
      <c r="Y9" s="969"/>
      <c r="AC9" s="343">
        <v>1993</v>
      </c>
      <c r="AD9" s="1144" t="e">
        <f>Table1[[#This Row],[Electricity]]/Table1[[#This Row],[Gasoline]]</f>
        <v>#DIV/0!</v>
      </c>
      <c r="AE9" s="1144" t="e">
        <f>Table1[[#This Row],[Hydrogen]]/Table1[[#This Row],[Gasoline]]</f>
        <v>#DIV/0!</v>
      </c>
    </row>
    <row r="10" spans="1:31" x14ac:dyDescent="0.2">
      <c r="B10" s="1003">
        <v>2008</v>
      </c>
      <c r="C10" s="1009">
        <v>1</v>
      </c>
      <c r="D10" s="1001">
        <v>1</v>
      </c>
      <c r="E10" s="1001">
        <v>1</v>
      </c>
      <c r="F10" s="1001">
        <v>1</v>
      </c>
      <c r="G10" s="1001">
        <v>1</v>
      </c>
      <c r="H10" s="1001">
        <v>1</v>
      </c>
      <c r="I10" s="1001">
        <v>1</v>
      </c>
      <c r="J10" s="1149">
        <f t="shared" si="0"/>
        <v>1</v>
      </c>
      <c r="K10" s="1150">
        <f t="shared" si="1"/>
        <v>1</v>
      </c>
      <c r="M10" s="1145">
        <v>0.01</v>
      </c>
      <c r="N10" s="1130">
        <f t="shared" si="2"/>
        <v>1.5999998720000074E-7</v>
      </c>
      <c r="P10" s="977">
        <v>1994</v>
      </c>
      <c r="Q10" s="960"/>
      <c r="R10" s="960">
        <v>3299</v>
      </c>
      <c r="S10" s="960">
        <v>82</v>
      </c>
      <c r="T10" s="960"/>
      <c r="U10" s="960"/>
      <c r="V10" s="960"/>
      <c r="W10" s="960">
        <v>1042</v>
      </c>
      <c r="X10" s="960">
        <v>32</v>
      </c>
      <c r="Y10" s="969"/>
      <c r="AC10" s="343">
        <v>1994</v>
      </c>
      <c r="AD10" s="1144" t="e">
        <f>Table1[[#This Row],[Electricity]]/Table1[[#This Row],[Gasoline]]</f>
        <v>#DIV/0!</v>
      </c>
      <c r="AE10" s="1144" t="e">
        <f>Table1[[#This Row],[Hydrogen]]/Table1[[#This Row],[Gasoline]]</f>
        <v>#DIV/0!</v>
      </c>
    </row>
    <row r="11" spans="1:31" x14ac:dyDescent="0.2">
      <c r="B11" s="1003">
        <v>2009</v>
      </c>
      <c r="C11" s="1009">
        <v>1</v>
      </c>
      <c r="D11" s="1001">
        <v>1</v>
      </c>
      <c r="E11" s="1001">
        <v>1</v>
      </c>
      <c r="F11" s="1001">
        <v>1</v>
      </c>
      <c r="G11" s="1001">
        <v>1</v>
      </c>
      <c r="H11" s="1001">
        <v>1</v>
      </c>
      <c r="I11" s="1001">
        <v>1</v>
      </c>
      <c r="J11" s="1149">
        <f t="shared" si="0"/>
        <v>1</v>
      </c>
      <c r="K11" s="1150">
        <f t="shared" si="1"/>
        <v>1</v>
      </c>
      <c r="M11" s="1145">
        <f>M10+0.01</f>
        <v>0.02</v>
      </c>
      <c r="N11" s="1130">
        <f t="shared" si="2"/>
        <v>2.559996723202798E-6</v>
      </c>
      <c r="P11" s="977">
        <v>1995</v>
      </c>
      <c r="Q11" s="960">
        <f>188</f>
        <v>188</v>
      </c>
      <c r="R11" s="960">
        <v>3299</v>
      </c>
      <c r="S11" s="960">
        <v>88</v>
      </c>
      <c r="T11" s="960"/>
      <c r="U11" s="960"/>
      <c r="V11" s="960"/>
      <c r="W11" s="960">
        <v>1065</v>
      </c>
      <c r="X11" s="960">
        <v>37</v>
      </c>
      <c r="Y11" s="969"/>
      <c r="AC11" s="343">
        <v>1995</v>
      </c>
      <c r="AD11" s="1144" t="e">
        <f>Table1[[#This Row],[Electricity]]/Table1[[#This Row],[Gasoline]]</f>
        <v>#DIV/0!</v>
      </c>
      <c r="AE11" s="1144" t="e">
        <f>Table1[[#This Row],[Hydrogen]]/Table1[[#This Row],[Gasoline]]</f>
        <v>#DIV/0!</v>
      </c>
    </row>
    <row r="12" spans="1:31" x14ac:dyDescent="0.2">
      <c r="B12" s="1004">
        <v>2010</v>
      </c>
      <c r="C12" s="1009">
        <v>1</v>
      </c>
      <c r="D12" s="1001">
        <v>1</v>
      </c>
      <c r="E12" s="1001">
        <v>1</v>
      </c>
      <c r="F12" s="1001">
        <v>1</v>
      </c>
      <c r="G12" s="1001">
        <v>1</v>
      </c>
      <c r="H12" s="1001">
        <v>1</v>
      </c>
      <c r="I12" s="1001">
        <v>1</v>
      </c>
      <c r="J12" s="1149">
        <f t="shared" si="0"/>
        <v>1</v>
      </c>
      <c r="K12" s="1150">
        <f t="shared" si="1"/>
        <v>1</v>
      </c>
      <c r="M12" s="1145">
        <f t="shared" ref="M12:M75" si="3">M11+0.01</f>
        <v>0.03</v>
      </c>
      <c r="N12" s="1130">
        <f t="shared" si="2"/>
        <v>1.2959916019562793E-5</v>
      </c>
      <c r="P12" s="977">
        <v>1996</v>
      </c>
      <c r="Q12" s="960">
        <f>194</f>
        <v>194</v>
      </c>
      <c r="R12" s="960">
        <v>4252</v>
      </c>
      <c r="S12" s="960">
        <v>95</v>
      </c>
      <c r="T12" s="960">
        <v>72</v>
      </c>
      <c r="U12" s="960"/>
      <c r="V12" s="960"/>
      <c r="W12" s="960">
        <v>1419</v>
      </c>
      <c r="X12" s="960">
        <v>68</v>
      </c>
      <c r="Y12" s="969">
        <v>190246</v>
      </c>
      <c r="AC12" s="343">
        <v>1996</v>
      </c>
      <c r="AD12" s="1144">
        <f>Table1[[#This Row],[Electricity]]/Table1[[#This Row],[Gasoline]]</f>
        <v>1.0197323465407945E-3</v>
      </c>
      <c r="AE12" s="1144">
        <f>Table1[[#This Row],[Hydrogen]]/Table1[[#This Row],[Gasoline]]</f>
        <v>0</v>
      </c>
    </row>
    <row r="13" spans="1:31" x14ac:dyDescent="0.2">
      <c r="B13" s="1004">
        <v>2011</v>
      </c>
      <c r="C13" s="1009">
        <v>1</v>
      </c>
      <c r="D13" s="1001">
        <v>1</v>
      </c>
      <c r="E13" s="1001">
        <v>1</v>
      </c>
      <c r="F13" s="1001">
        <v>1</v>
      </c>
      <c r="G13" s="1001">
        <v>1</v>
      </c>
      <c r="H13" s="1001">
        <v>1</v>
      </c>
      <c r="I13" s="1001">
        <v>1</v>
      </c>
      <c r="J13" s="1149">
        <f t="shared" si="0"/>
        <v>1</v>
      </c>
      <c r="K13" s="1150">
        <f t="shared" si="1"/>
        <v>1</v>
      </c>
      <c r="M13" s="1145">
        <f t="shared" si="3"/>
        <v>0.04</v>
      </c>
      <c r="N13" s="1130">
        <f t="shared" si="2"/>
        <v>4.0959161150653103E-5</v>
      </c>
      <c r="P13" s="977">
        <v>1997</v>
      </c>
      <c r="Q13" s="960">
        <f>310</f>
        <v>310</v>
      </c>
      <c r="R13" s="960">
        <v>4255</v>
      </c>
      <c r="S13" s="960">
        <v>106</v>
      </c>
      <c r="T13" s="960">
        <v>71</v>
      </c>
      <c r="U13" s="960"/>
      <c r="V13" s="960"/>
      <c r="W13" s="960">
        <v>1426</v>
      </c>
      <c r="X13" s="960">
        <v>71</v>
      </c>
      <c r="Y13" s="969">
        <v>187892</v>
      </c>
      <c r="AC13" s="343">
        <v>1997</v>
      </c>
      <c r="AD13" s="1144">
        <f>Table1[[#This Row],[Electricity]]/Table1[[#This Row],[Gasoline]]</f>
        <v>1.6498839759010496E-3</v>
      </c>
      <c r="AE13" s="1144">
        <f>Table1[[#This Row],[Hydrogen]]/Table1[[#This Row],[Gasoline]]</f>
        <v>0</v>
      </c>
    </row>
    <row r="14" spans="1:31" x14ac:dyDescent="0.2">
      <c r="B14" s="1004">
        <v>2012</v>
      </c>
      <c r="C14" s="1009">
        <v>1</v>
      </c>
      <c r="D14" s="1001">
        <v>1</v>
      </c>
      <c r="E14" s="1001">
        <v>1</v>
      </c>
      <c r="F14" s="1001">
        <v>1</v>
      </c>
      <c r="G14" s="1001">
        <v>1</v>
      </c>
      <c r="H14" s="1001">
        <v>1</v>
      </c>
      <c r="I14" s="1001">
        <v>1</v>
      </c>
      <c r="J14" s="1149">
        <f t="shared" si="0"/>
        <v>1</v>
      </c>
      <c r="K14" s="1150">
        <f t="shared" si="1"/>
        <v>1</v>
      </c>
      <c r="M14" s="1145">
        <f t="shared" si="3"/>
        <v>0.05</v>
      </c>
      <c r="N14" s="1130">
        <f t="shared" si="2"/>
        <v>9.999500016666259E-5</v>
      </c>
      <c r="P14" s="977">
        <v>1998</v>
      </c>
      <c r="Q14" s="960">
        <f>486</f>
        <v>486</v>
      </c>
      <c r="R14" s="960">
        <v>5318</v>
      </c>
      <c r="S14" s="960">
        <v>91</v>
      </c>
      <c r="T14" s="960">
        <v>66</v>
      </c>
      <c r="U14" s="960"/>
      <c r="V14" s="960"/>
      <c r="W14" s="960">
        <v>1268</v>
      </c>
      <c r="X14" s="960">
        <v>40</v>
      </c>
      <c r="Y14" s="969">
        <v>182596</v>
      </c>
      <c r="AC14" s="343">
        <v>1998</v>
      </c>
      <c r="AD14" s="1144">
        <f>Table1[[#This Row],[Electricity]]/Table1[[#This Row],[Gasoline]]</f>
        <v>2.6616136169467018E-3</v>
      </c>
      <c r="AE14" s="1144">
        <f>Table1[[#This Row],[Hydrogen]]/Table1[[#This Row],[Gasoline]]</f>
        <v>0</v>
      </c>
    </row>
    <row r="15" spans="1:31" x14ac:dyDescent="0.2">
      <c r="B15" s="1004">
        <v>2013</v>
      </c>
      <c r="C15" s="1009">
        <v>1</v>
      </c>
      <c r="D15" s="1001">
        <v>1</v>
      </c>
      <c r="E15" s="1001">
        <v>1</v>
      </c>
      <c r="F15" s="1001">
        <v>1</v>
      </c>
      <c r="G15" s="1001">
        <v>1</v>
      </c>
      <c r="H15" s="1001">
        <v>1</v>
      </c>
      <c r="I15" s="1001">
        <v>1</v>
      </c>
      <c r="J15" s="1149">
        <f t="shared" si="0"/>
        <v>1</v>
      </c>
      <c r="K15" s="1150">
        <f t="shared" si="1"/>
        <v>1</v>
      </c>
      <c r="M15" s="1145">
        <f t="shared" si="3"/>
        <v>6.0000000000000005E-2</v>
      </c>
      <c r="N15" s="1130">
        <f t="shared" si="2"/>
        <v>2.0733850240113979E-4</v>
      </c>
      <c r="P15" s="977">
        <v>1999</v>
      </c>
      <c r="Q15" s="960">
        <f>490</f>
        <v>490</v>
      </c>
      <c r="R15" s="960">
        <v>4153</v>
      </c>
      <c r="S15" s="960">
        <v>51</v>
      </c>
      <c r="T15" s="960">
        <v>46</v>
      </c>
      <c r="U15" s="960"/>
      <c r="V15" s="960"/>
      <c r="W15" s="960">
        <v>1267</v>
      </c>
      <c r="X15" s="960">
        <v>49</v>
      </c>
      <c r="Y15" s="969">
        <v>180567</v>
      </c>
      <c r="AC15" s="343">
        <v>1999</v>
      </c>
      <c r="AD15" s="1144">
        <f>Table1[[#This Row],[Electricity]]/Table1[[#This Row],[Gasoline]]</f>
        <v>2.7136741486539621E-3</v>
      </c>
      <c r="AE15" s="1144">
        <f>Table1[[#This Row],[Hydrogen]]/Table1[[#This Row],[Gasoline]]</f>
        <v>0</v>
      </c>
    </row>
    <row r="16" spans="1:31" x14ac:dyDescent="0.2">
      <c r="B16" s="1004">
        <v>2014</v>
      </c>
      <c r="C16" s="1009">
        <v>1</v>
      </c>
      <c r="D16" s="1001">
        <v>1</v>
      </c>
      <c r="E16" s="1001">
        <v>1</v>
      </c>
      <c r="F16" s="1001">
        <v>1</v>
      </c>
      <c r="G16" s="1001">
        <v>1</v>
      </c>
      <c r="H16" s="1001">
        <v>1</v>
      </c>
      <c r="I16" s="1001">
        <v>1</v>
      </c>
      <c r="J16" s="1149">
        <f t="shared" si="0"/>
        <v>1</v>
      </c>
      <c r="K16" s="1150">
        <f t="shared" si="1"/>
        <v>1</v>
      </c>
      <c r="M16" s="1145">
        <f t="shared" si="3"/>
        <v>7.0000000000000007E-2</v>
      </c>
      <c r="N16" s="1130">
        <f t="shared" si="2"/>
        <v>3.8408621999527803E-4</v>
      </c>
      <c r="P16" s="977">
        <v>2000</v>
      </c>
      <c r="Q16" s="960">
        <f>558</f>
        <v>558</v>
      </c>
      <c r="R16" s="960">
        <v>3268</v>
      </c>
      <c r="S16" s="960">
        <v>3</v>
      </c>
      <c r="T16" s="960">
        <v>44</v>
      </c>
      <c r="U16" s="960"/>
      <c r="V16" s="960">
        <v>2</v>
      </c>
      <c r="W16" s="960">
        <v>1217</v>
      </c>
      <c r="X16" s="960">
        <v>113</v>
      </c>
      <c r="Y16" s="969">
        <v>175941</v>
      </c>
      <c r="AC16" s="343">
        <v>2000</v>
      </c>
      <c r="AD16" s="1144">
        <f>Table1[[#This Row],[Electricity]]/Table1[[#This Row],[Gasoline]]</f>
        <v>3.1715177246918001E-3</v>
      </c>
      <c r="AE16" s="1144">
        <f>Table1[[#This Row],[Hydrogen]]/Table1[[#This Row],[Gasoline]]</f>
        <v>0</v>
      </c>
    </row>
    <row r="17" spans="2:31" x14ac:dyDescent="0.2">
      <c r="B17" s="1004">
        <v>2015</v>
      </c>
      <c r="C17" s="1009">
        <v>1</v>
      </c>
      <c r="D17" s="1001">
        <v>1</v>
      </c>
      <c r="E17" s="1001">
        <v>1</v>
      </c>
      <c r="F17" s="1001">
        <v>1</v>
      </c>
      <c r="G17" s="1001">
        <v>1</v>
      </c>
      <c r="H17" s="1001">
        <v>1</v>
      </c>
      <c r="I17" s="1001">
        <v>1</v>
      </c>
      <c r="J17" s="1149">
        <f t="shared" si="0"/>
        <v>1</v>
      </c>
      <c r="K17" s="1150">
        <f t="shared" si="1"/>
        <v>1</v>
      </c>
      <c r="M17" s="1145">
        <f t="shared" si="3"/>
        <v>0.08</v>
      </c>
      <c r="N17" s="1130">
        <f t="shared" si="2"/>
        <v>6.5514529854001074E-4</v>
      </c>
      <c r="P17" s="977">
        <v>2001</v>
      </c>
      <c r="Q17" s="960">
        <f>693</f>
        <v>693</v>
      </c>
      <c r="R17" s="960">
        <v>3403</v>
      </c>
      <c r="S17" s="960"/>
      <c r="T17" s="960">
        <v>44</v>
      </c>
      <c r="U17" s="960"/>
      <c r="V17" s="960">
        <v>16</v>
      </c>
      <c r="W17" s="960">
        <v>1232</v>
      </c>
      <c r="X17" s="960">
        <v>154</v>
      </c>
      <c r="Y17" s="969">
        <v>172169</v>
      </c>
      <c r="AC17" s="343">
        <v>2001</v>
      </c>
      <c r="AD17" s="1144">
        <f>Table1[[#This Row],[Electricity]]/Table1[[#This Row],[Gasoline]]</f>
        <v>4.0251148580754958E-3</v>
      </c>
      <c r="AE17" s="1144">
        <f>Table1[[#This Row],[Hydrogen]]/Table1[[#This Row],[Gasoline]]</f>
        <v>0</v>
      </c>
    </row>
    <row r="18" spans="2:31" x14ac:dyDescent="0.2">
      <c r="B18" s="1004">
        <v>2016</v>
      </c>
      <c r="C18" s="1009">
        <v>1</v>
      </c>
      <c r="D18" s="1001">
        <v>1</v>
      </c>
      <c r="E18" s="1001">
        <v>1</v>
      </c>
      <c r="F18" s="1001">
        <v>1</v>
      </c>
      <c r="G18" s="1001">
        <v>1</v>
      </c>
      <c r="H18" s="1001">
        <v>1</v>
      </c>
      <c r="I18" s="1001">
        <v>1</v>
      </c>
      <c r="J18" s="1149">
        <f t="shared" si="0"/>
        <v>1</v>
      </c>
      <c r="K18" s="1150">
        <f t="shared" si="1"/>
        <v>1</v>
      </c>
      <c r="M18" s="1145">
        <f t="shared" si="3"/>
        <v>0.09</v>
      </c>
      <c r="N18" s="1130">
        <f t="shared" si="2"/>
        <v>1.0492091947258413E-3</v>
      </c>
      <c r="P18" s="977">
        <v>2002</v>
      </c>
      <c r="Q18" s="960">
        <f>873</f>
        <v>873</v>
      </c>
      <c r="R18" s="960">
        <v>3431</v>
      </c>
      <c r="S18" s="960"/>
      <c r="T18" s="960">
        <v>36</v>
      </c>
      <c r="U18" s="960">
        <v>7</v>
      </c>
      <c r="V18" s="960">
        <v>79</v>
      </c>
      <c r="W18" s="960">
        <v>1166</v>
      </c>
      <c r="X18" s="960">
        <v>149</v>
      </c>
      <c r="Y18" s="969">
        <v>170018</v>
      </c>
      <c r="AC18" s="343">
        <v>2002</v>
      </c>
      <c r="AD18" s="1144">
        <f>Table1[[#This Row],[Electricity]]/Table1[[#This Row],[Gasoline]]</f>
        <v>5.1347504381888979E-3</v>
      </c>
      <c r="AE18" s="1144">
        <f>Table1[[#This Row],[Hydrogen]]/Table1[[#This Row],[Gasoline]]</f>
        <v>4.1172111188227128E-5</v>
      </c>
    </row>
    <row r="19" spans="2:31" x14ac:dyDescent="0.2">
      <c r="B19" s="1004">
        <v>2017</v>
      </c>
      <c r="C19" s="1009">
        <v>1</v>
      </c>
      <c r="D19" s="1001">
        <v>1</v>
      </c>
      <c r="E19" s="1001">
        <v>1</v>
      </c>
      <c r="F19" s="1001">
        <v>1</v>
      </c>
      <c r="G19" s="1001">
        <v>1</v>
      </c>
      <c r="H19" s="1001">
        <v>1</v>
      </c>
      <c r="I19" s="1001">
        <v>1</v>
      </c>
      <c r="J19" s="1149">
        <f t="shared" si="0"/>
        <v>1</v>
      </c>
      <c r="K19" s="1150">
        <f t="shared" si="1"/>
        <v>1</v>
      </c>
      <c r="M19" s="1145">
        <f t="shared" si="3"/>
        <v>9.9999999999999992E-2</v>
      </c>
      <c r="N19" s="1130">
        <f t="shared" si="2"/>
        <v>1.5987206823936864E-3</v>
      </c>
      <c r="P19" s="977">
        <v>2003</v>
      </c>
      <c r="Q19" s="960">
        <f>830</f>
        <v>830</v>
      </c>
      <c r="R19" s="960">
        <v>3966</v>
      </c>
      <c r="S19" s="960"/>
      <c r="T19" s="960">
        <v>62</v>
      </c>
      <c r="U19" s="960">
        <v>7</v>
      </c>
      <c r="V19" s="960">
        <v>142</v>
      </c>
      <c r="W19" s="960">
        <v>1035</v>
      </c>
      <c r="X19" s="960">
        <v>188</v>
      </c>
      <c r="Y19" s="969">
        <v>167571</v>
      </c>
      <c r="AC19" s="343">
        <v>2003</v>
      </c>
      <c r="AD19" s="1144">
        <f>Table1[[#This Row],[Electricity]]/Table1[[#This Row],[Gasoline]]</f>
        <v>4.9531243472915954E-3</v>
      </c>
      <c r="AE19" s="1144">
        <f>Table1[[#This Row],[Hydrogen]]/Table1[[#This Row],[Gasoline]]</f>
        <v>4.1773337868724299E-5</v>
      </c>
    </row>
    <row r="20" spans="2:31" x14ac:dyDescent="0.2">
      <c r="B20" s="1004">
        <v>2018</v>
      </c>
      <c r="C20" s="1009">
        <v>1</v>
      </c>
      <c r="D20" s="1001">
        <v>1</v>
      </c>
      <c r="E20" s="1001">
        <v>1</v>
      </c>
      <c r="F20" s="1001">
        <v>1</v>
      </c>
      <c r="G20" s="1001">
        <v>1</v>
      </c>
      <c r="H20" s="1001">
        <v>1</v>
      </c>
      <c r="I20" s="1001">
        <v>1</v>
      </c>
      <c r="J20" s="1149">
        <f t="shared" si="0"/>
        <v>1</v>
      </c>
      <c r="K20" s="1150">
        <f t="shared" si="1"/>
        <v>1</v>
      </c>
      <c r="M20" s="1145">
        <f t="shared" si="3"/>
        <v>0.10999999999999999</v>
      </c>
      <c r="N20" s="1130">
        <f t="shared" si="2"/>
        <v>2.3398183475694901E-3</v>
      </c>
      <c r="P20" s="977">
        <v>2004</v>
      </c>
      <c r="Q20" s="960">
        <f>671</f>
        <v>671</v>
      </c>
      <c r="R20" s="960">
        <v>3689</v>
      </c>
      <c r="S20" s="961"/>
      <c r="T20" s="960">
        <v>58</v>
      </c>
      <c r="U20" s="960">
        <v>9</v>
      </c>
      <c r="V20" s="960">
        <v>176</v>
      </c>
      <c r="W20" s="960">
        <v>917</v>
      </c>
      <c r="X20" s="960">
        <v>200</v>
      </c>
      <c r="Y20" s="969">
        <v>167346</v>
      </c>
      <c r="AC20" s="343">
        <v>2004</v>
      </c>
      <c r="AD20" s="1144">
        <f>Table1[[#This Row],[Electricity]]/Table1[[#This Row],[Gasoline]]</f>
        <v>4.0096566395372464E-3</v>
      </c>
      <c r="AE20" s="1144">
        <f>Table1[[#This Row],[Hydrogen]]/Table1[[#This Row],[Gasoline]]</f>
        <v>5.378078950198989E-5</v>
      </c>
    </row>
    <row r="21" spans="2:31" x14ac:dyDescent="0.2">
      <c r="B21" s="1004">
        <v>2019</v>
      </c>
      <c r="C21" s="1009">
        <v>1</v>
      </c>
      <c r="D21" s="1001">
        <v>1</v>
      </c>
      <c r="E21" s="1001">
        <v>1</v>
      </c>
      <c r="F21" s="1001">
        <v>1</v>
      </c>
      <c r="G21" s="1001">
        <v>1</v>
      </c>
      <c r="H21" s="1001">
        <v>1</v>
      </c>
      <c r="I21" s="1001">
        <v>1</v>
      </c>
      <c r="J21" s="1149">
        <f t="shared" si="0"/>
        <v>1</v>
      </c>
      <c r="K21" s="1150">
        <f t="shared" si="1"/>
        <v>1</v>
      </c>
      <c r="M21" s="1145">
        <f t="shared" si="3"/>
        <v>0.11999999999999998</v>
      </c>
      <c r="N21" s="1130">
        <f t="shared" si="2"/>
        <v>3.3122623159705469E-3</v>
      </c>
      <c r="P21" s="977">
        <v>2005</v>
      </c>
      <c r="Q21" s="960">
        <f>588</f>
        <v>588</v>
      </c>
      <c r="R21" s="960">
        <v>2995</v>
      </c>
      <c r="S21" s="961"/>
      <c r="T21" s="960">
        <v>40</v>
      </c>
      <c r="U21" s="960">
        <v>14</v>
      </c>
      <c r="V21" s="960">
        <v>304</v>
      </c>
      <c r="W21" s="960">
        <v>787</v>
      </c>
      <c r="X21" s="960">
        <v>436</v>
      </c>
      <c r="Y21" s="969">
        <v>168987</v>
      </c>
      <c r="AC21" s="343">
        <v>2005</v>
      </c>
      <c r="AD21" s="1144">
        <f>Table1[[#This Row],[Electricity]]/Table1[[#This Row],[Gasoline]]</f>
        <v>3.4795575991052566E-3</v>
      </c>
      <c r="AE21" s="1144">
        <f>Table1[[#This Row],[Hydrogen]]/Table1[[#This Row],[Gasoline]]</f>
        <v>8.284660950250611E-5</v>
      </c>
    </row>
    <row r="22" spans="2:31" x14ac:dyDescent="0.2">
      <c r="B22" s="1004">
        <v>2020</v>
      </c>
      <c r="C22" s="1009">
        <v>1</v>
      </c>
      <c r="D22" s="1001">
        <v>1</v>
      </c>
      <c r="E22" s="1001">
        <v>1</v>
      </c>
      <c r="F22" s="1001">
        <v>1</v>
      </c>
      <c r="G22" s="1001">
        <v>1</v>
      </c>
      <c r="H22" s="1001">
        <v>1</v>
      </c>
      <c r="I22" s="1001">
        <v>1</v>
      </c>
      <c r="J22" s="1149">
        <f t="shared" si="0"/>
        <v>1</v>
      </c>
      <c r="K22" s="1150">
        <f t="shared" si="1"/>
        <v>1</v>
      </c>
      <c r="M22" s="1145">
        <f t="shared" si="3"/>
        <v>0.12999999999999998</v>
      </c>
      <c r="N22" s="1130">
        <f t="shared" si="2"/>
        <v>4.5593345334435922E-3</v>
      </c>
      <c r="P22" s="977">
        <v>2006</v>
      </c>
      <c r="Q22" s="960">
        <f>465</f>
        <v>465</v>
      </c>
      <c r="R22" s="960">
        <v>2619</v>
      </c>
      <c r="S22" s="960"/>
      <c r="T22" s="960">
        <v>37</v>
      </c>
      <c r="U22" s="960">
        <v>17</v>
      </c>
      <c r="V22" s="960">
        <v>459</v>
      </c>
      <c r="W22" s="960">
        <v>732</v>
      </c>
      <c r="X22" s="960">
        <v>762</v>
      </c>
      <c r="Y22" s="969">
        <v>167476</v>
      </c>
      <c r="AC22" s="343">
        <v>2006</v>
      </c>
      <c r="AD22" s="1144">
        <f>Table1[[#This Row],[Electricity]]/Table1[[#This Row],[Gasoline]]</f>
        <v>2.7765172323198548E-3</v>
      </c>
      <c r="AE22" s="1144">
        <f>Table1[[#This Row],[Hydrogen]]/Table1[[#This Row],[Gasoline]]</f>
        <v>1.0150708161169362E-4</v>
      </c>
    </row>
    <row r="23" spans="2:31" x14ac:dyDescent="0.2">
      <c r="B23" s="1004">
        <v>2021</v>
      </c>
      <c r="C23" s="1009">
        <v>1</v>
      </c>
      <c r="D23" s="1001">
        <v>1</v>
      </c>
      <c r="E23" s="1001">
        <v>1</v>
      </c>
      <c r="F23" s="1001">
        <v>1</v>
      </c>
      <c r="G23" s="1001">
        <v>1</v>
      </c>
      <c r="H23" s="1001">
        <v>1</v>
      </c>
      <c r="I23" s="1001">
        <v>1</v>
      </c>
      <c r="J23" s="1149">
        <f t="shared" si="0"/>
        <v>1</v>
      </c>
      <c r="K23" s="1150">
        <f t="shared" si="1"/>
        <v>1</v>
      </c>
      <c r="M23" s="1145">
        <f t="shared" si="3"/>
        <v>0.13999999999999999</v>
      </c>
      <c r="N23" s="1130">
        <f t="shared" si="2"/>
        <v>6.1277085437277685E-3</v>
      </c>
      <c r="P23" s="977">
        <v>2007</v>
      </c>
      <c r="Q23" s="962">
        <f>442</f>
        <v>442</v>
      </c>
      <c r="R23" s="962">
        <v>2371</v>
      </c>
      <c r="S23" s="960"/>
      <c r="T23" s="960">
        <v>35</v>
      </c>
      <c r="U23" s="960">
        <v>32</v>
      </c>
      <c r="V23" s="962">
        <v>742</v>
      </c>
      <c r="W23" s="962">
        <v>721</v>
      </c>
      <c r="X23" s="962">
        <v>1208</v>
      </c>
      <c r="Y23" s="969">
        <v>164292</v>
      </c>
      <c r="AC23" s="343">
        <v>2007</v>
      </c>
      <c r="AD23" s="1144">
        <f>Table1[[#This Row],[Electricity]]/Table1[[#This Row],[Gasoline]]</f>
        <v>2.6903318481727658E-3</v>
      </c>
      <c r="AE23" s="1144">
        <f>Table1[[#This Row],[Hydrogen]]/Table1[[#This Row],[Gasoline]]</f>
        <v>1.9477515642879752E-4</v>
      </c>
    </row>
    <row r="24" spans="2:31" x14ac:dyDescent="0.2">
      <c r="B24" s="1004">
        <v>2022</v>
      </c>
      <c r="C24" s="1009">
        <v>1</v>
      </c>
      <c r="D24" s="1001">
        <v>1</v>
      </c>
      <c r="E24" s="1001">
        <v>1</v>
      </c>
      <c r="F24" s="1001">
        <v>1</v>
      </c>
      <c r="G24" s="1001">
        <v>1</v>
      </c>
      <c r="H24" s="1001">
        <v>1</v>
      </c>
      <c r="I24" s="1001">
        <v>1</v>
      </c>
      <c r="J24" s="1149">
        <f t="shared" si="0"/>
        <v>1</v>
      </c>
      <c r="K24" s="1150">
        <f t="shared" si="1"/>
        <v>1</v>
      </c>
      <c r="M24" s="1145">
        <f t="shared" si="3"/>
        <v>0.15</v>
      </c>
      <c r="N24" s="1130">
        <f t="shared" si="2"/>
        <v>8.0672833944288314E-3</v>
      </c>
      <c r="P24" s="977">
        <v>2008</v>
      </c>
      <c r="Q24" s="962">
        <f>430</f>
        <v>430</v>
      </c>
      <c r="R24" s="962">
        <v>2175</v>
      </c>
      <c r="S24" s="960"/>
      <c r="T24" s="966">
        <v>38</v>
      </c>
      <c r="U24" s="960">
        <v>46</v>
      </c>
      <c r="V24" s="962">
        <v>645</v>
      </c>
      <c r="W24" s="962">
        <v>778</v>
      </c>
      <c r="X24" s="962">
        <v>1644</v>
      </c>
      <c r="Y24" s="969">
        <v>161078</v>
      </c>
      <c r="AC24" s="343">
        <v>2008</v>
      </c>
      <c r="AD24" s="1144">
        <f>Table1[[#This Row],[Electricity]]/Table1[[#This Row],[Gasoline]]</f>
        <v>2.6695141484249867E-3</v>
      </c>
      <c r="AE24" s="1144">
        <f>Table1[[#This Row],[Hydrogen]]/Table1[[#This Row],[Gasoline]]</f>
        <v>2.8557593215709158E-4</v>
      </c>
    </row>
    <row r="25" spans="2:31" x14ac:dyDescent="0.2">
      <c r="B25" s="1004">
        <v>2023</v>
      </c>
      <c r="C25" s="1009">
        <v>1</v>
      </c>
      <c r="D25" s="1001">
        <v>1</v>
      </c>
      <c r="E25" s="1001">
        <v>1</v>
      </c>
      <c r="F25" s="1001">
        <v>1</v>
      </c>
      <c r="G25" s="1001">
        <v>1</v>
      </c>
      <c r="H25" s="1001">
        <v>1</v>
      </c>
      <c r="I25" s="1001">
        <v>1</v>
      </c>
      <c r="J25" s="1149">
        <f t="shared" si="0"/>
        <v>1</v>
      </c>
      <c r="K25" s="1150">
        <f t="shared" si="1"/>
        <v>1</v>
      </c>
      <c r="M25" s="1145">
        <f t="shared" si="3"/>
        <v>0.16</v>
      </c>
      <c r="N25" s="1130">
        <f t="shared" si="2"/>
        <v>1.0430976069530742E-2</v>
      </c>
      <c r="P25" s="977">
        <v>2009</v>
      </c>
      <c r="Q25" s="962">
        <f>465</f>
        <v>465</v>
      </c>
      <c r="R25" s="962">
        <v>2468</v>
      </c>
      <c r="S25" s="960"/>
      <c r="T25" s="966">
        <v>36</v>
      </c>
      <c r="U25" s="960">
        <v>63</v>
      </c>
      <c r="V25" s="962">
        <v>679</v>
      </c>
      <c r="W25" s="962">
        <v>772</v>
      </c>
      <c r="X25" s="962">
        <v>1928</v>
      </c>
      <c r="Y25" s="969">
        <v>162350</v>
      </c>
      <c r="AC25" s="343">
        <v>2009</v>
      </c>
      <c r="AD25" s="1144">
        <f>Table1[[#This Row],[Electricity]]/Table1[[#This Row],[Gasoline]]</f>
        <v>2.864182322143517E-3</v>
      </c>
      <c r="AE25" s="1144">
        <f>Table1[[#This Row],[Hydrogen]]/Table1[[#This Row],[Gasoline]]</f>
        <v>3.8805050816137976E-4</v>
      </c>
    </row>
    <row r="26" spans="2:31" x14ac:dyDescent="0.2">
      <c r="B26" s="1004">
        <v>2024</v>
      </c>
      <c r="C26" s="1009">
        <v>1</v>
      </c>
      <c r="D26" s="1001">
        <v>1</v>
      </c>
      <c r="E26" s="1001">
        <v>1</v>
      </c>
      <c r="F26" s="1001">
        <v>1</v>
      </c>
      <c r="G26" s="1001">
        <v>1</v>
      </c>
      <c r="H26" s="1001">
        <v>1</v>
      </c>
      <c r="I26" s="1001">
        <v>1</v>
      </c>
      <c r="J26" s="1149">
        <f t="shared" si="0"/>
        <v>1</v>
      </c>
      <c r="K26" s="1150">
        <f t="shared" si="1"/>
        <v>1</v>
      </c>
      <c r="M26" s="1145">
        <f t="shared" si="3"/>
        <v>0.17</v>
      </c>
      <c r="N26" s="1130">
        <f t="shared" si="2"/>
        <v>1.3274466716304363E-2</v>
      </c>
      <c r="P26" s="977">
        <v>2010</v>
      </c>
      <c r="Q26" s="962">
        <f>541</f>
        <v>541</v>
      </c>
      <c r="R26" s="962">
        <v>2647</v>
      </c>
      <c r="S26" s="960"/>
      <c r="T26" s="966">
        <v>39</v>
      </c>
      <c r="U26" s="960">
        <v>58</v>
      </c>
      <c r="V26" s="962">
        <v>644</v>
      </c>
      <c r="W26" s="962">
        <v>841</v>
      </c>
      <c r="X26" s="962">
        <v>2142</v>
      </c>
      <c r="Y26" s="969">
        <v>159006</v>
      </c>
      <c r="AC26" s="343">
        <v>2010</v>
      </c>
      <c r="AD26" s="1144">
        <f>Table1[[#This Row],[Electricity]]/Table1[[#This Row],[Gasoline]]</f>
        <v>3.4023873312956743E-3</v>
      </c>
      <c r="AE26" s="1144">
        <f>Table1[[#This Row],[Hydrogen]]/Table1[[#This Row],[Gasoline]]</f>
        <v>3.6476610945498911E-4</v>
      </c>
    </row>
    <row r="27" spans="2:31" x14ac:dyDescent="0.2">
      <c r="B27" s="1004">
        <v>2025</v>
      </c>
      <c r="C27" s="1009">
        <v>1</v>
      </c>
      <c r="D27" s="1001">
        <v>1</v>
      </c>
      <c r="E27" s="1001">
        <v>1</v>
      </c>
      <c r="F27" s="1001">
        <v>1</v>
      </c>
      <c r="G27" s="1001">
        <v>1</v>
      </c>
      <c r="H27" s="1001">
        <v>1</v>
      </c>
      <c r="I27" s="1001">
        <v>1</v>
      </c>
      <c r="J27" s="1149">
        <f t="shared" si="0"/>
        <v>1</v>
      </c>
      <c r="K27" s="1150">
        <f t="shared" si="1"/>
        <v>1</v>
      </c>
      <c r="M27" s="1145">
        <f t="shared" si="3"/>
        <v>0.18000000000000002</v>
      </c>
      <c r="N27" s="1130">
        <f t="shared" si="2"/>
        <v>1.665589092984994E-2</v>
      </c>
      <c r="P27" s="977">
        <v>2011</v>
      </c>
      <c r="Q27" s="963">
        <f>3394/plugs_per_station</f>
        <v>1697</v>
      </c>
      <c r="R27" s="963">
        <v>2597</v>
      </c>
      <c r="S27" s="964"/>
      <c r="T27" s="966">
        <v>45</v>
      </c>
      <c r="U27" s="960">
        <v>56</v>
      </c>
      <c r="V27" s="963">
        <v>627</v>
      </c>
      <c r="W27" s="963">
        <v>910</v>
      </c>
      <c r="X27" s="963">
        <v>2442</v>
      </c>
      <c r="Y27" s="969">
        <v>157393</v>
      </c>
      <c r="AC27" s="343">
        <v>2011</v>
      </c>
      <c r="AD27" s="1144">
        <f>Table1[[#This Row],[Electricity]]/Table1[[#This Row],[Gasoline]]</f>
        <v>1.0781928040001779E-2</v>
      </c>
      <c r="AE27" s="1144">
        <f>Table1[[#This Row],[Hydrogen]]/Table1[[#This Row],[Gasoline]]</f>
        <v>3.5579727179734806E-4</v>
      </c>
    </row>
    <row r="28" spans="2:31" x14ac:dyDescent="0.2">
      <c r="B28" s="1004">
        <v>2026</v>
      </c>
      <c r="C28" s="1009">
        <v>1</v>
      </c>
      <c r="D28" s="1001">
        <v>1</v>
      </c>
      <c r="E28" s="1001">
        <v>1</v>
      </c>
      <c r="F28" s="1001">
        <v>1</v>
      </c>
      <c r="G28" s="1001">
        <v>1</v>
      </c>
      <c r="H28" s="1001">
        <v>1</v>
      </c>
      <c r="I28" s="1001">
        <v>1</v>
      </c>
      <c r="J28" s="1149">
        <f t="shared" si="0"/>
        <v>1</v>
      </c>
      <c r="K28" s="1150">
        <f t="shared" si="1"/>
        <v>1</v>
      </c>
      <c r="M28" s="1145">
        <f t="shared" si="3"/>
        <v>0.19000000000000003</v>
      </c>
      <c r="N28" s="1130">
        <f t="shared" si="2"/>
        <v>2.063547350575257E-2</v>
      </c>
      <c r="P28" s="977">
        <v>2012</v>
      </c>
      <c r="Q28" s="963">
        <f>13392/plugs_per_station</f>
        <v>6696</v>
      </c>
      <c r="R28" s="963">
        <v>2654</v>
      </c>
      <c r="S28" s="964"/>
      <c r="T28" s="966">
        <v>59</v>
      </c>
      <c r="U28" s="960">
        <v>58</v>
      </c>
      <c r="V28" s="963">
        <v>675</v>
      </c>
      <c r="W28" s="963">
        <v>1107</v>
      </c>
      <c r="X28" s="963">
        <v>2553</v>
      </c>
      <c r="Y28" s="969">
        <v>156065</v>
      </c>
      <c r="AC28" s="343">
        <v>2012</v>
      </c>
      <c r="AD28" s="1144">
        <f>Table1[[#This Row],[Electricity]]/Table1[[#This Row],[Gasoline]]</f>
        <v>4.2905199756511712E-2</v>
      </c>
      <c r="AE28" s="1144">
        <f>Table1[[#This Row],[Hydrogen]]/Table1[[#This Row],[Gasoline]]</f>
        <v>3.7164002178579437E-4</v>
      </c>
    </row>
    <row r="29" spans="2:31" x14ac:dyDescent="0.2">
      <c r="B29" s="1004">
        <v>2027</v>
      </c>
      <c r="C29" s="1009">
        <v>1</v>
      </c>
      <c r="D29" s="1001">
        <v>1</v>
      </c>
      <c r="E29" s="1001">
        <v>1</v>
      </c>
      <c r="F29" s="1001">
        <v>1</v>
      </c>
      <c r="G29" s="1001">
        <v>1</v>
      </c>
      <c r="H29" s="1001">
        <v>1</v>
      </c>
      <c r="I29" s="1001">
        <v>1</v>
      </c>
      <c r="J29" s="1149">
        <f t="shared" si="0"/>
        <v>1</v>
      </c>
      <c r="K29" s="1150">
        <f t="shared" si="1"/>
        <v>1</v>
      </c>
      <c r="M29" s="1145">
        <f t="shared" si="3"/>
        <v>0.20000000000000004</v>
      </c>
      <c r="N29" s="1130">
        <f t="shared" si="2"/>
        <v>2.5275098398206075E-2</v>
      </c>
      <c r="P29" s="977">
        <v>2013</v>
      </c>
      <c r="Q29" s="963">
        <f>19410/plugs_per_station</f>
        <v>9705</v>
      </c>
      <c r="R29" s="963">
        <v>2956</v>
      </c>
      <c r="S29" s="964"/>
      <c r="T29" s="966">
        <v>81</v>
      </c>
      <c r="U29" s="960">
        <v>53</v>
      </c>
      <c r="V29" s="963">
        <v>757</v>
      </c>
      <c r="W29" s="963">
        <v>1263</v>
      </c>
      <c r="X29" s="963">
        <v>2639</v>
      </c>
      <c r="Y29" s="969">
        <f>Y28</f>
        <v>156065</v>
      </c>
      <c r="Z29" s="343">
        <f>-1976.3*Table1[[#This Row],[Year]]+4130497.79</f>
        <v>152205.89000000013</v>
      </c>
      <c r="AC29" s="343">
        <v>2013</v>
      </c>
      <c r="AD29" s="1144">
        <f>Table1[[#This Row],[Electricity]]/Table1[[#This Row],[Gasoline]]</f>
        <v>6.2185627783295422E-2</v>
      </c>
      <c r="AE29" s="1144">
        <f>Table1[[#This Row],[Hydrogen]]/Table1[[#This Row],[Gasoline]]</f>
        <v>3.3960208887322588E-4</v>
      </c>
    </row>
    <row r="30" spans="2:31" x14ac:dyDescent="0.2">
      <c r="B30" s="1004">
        <v>2028</v>
      </c>
      <c r="C30" s="1009">
        <v>1</v>
      </c>
      <c r="D30" s="1001">
        <v>1</v>
      </c>
      <c r="E30" s="1001">
        <v>1</v>
      </c>
      <c r="F30" s="1001">
        <v>1</v>
      </c>
      <c r="G30" s="1001">
        <v>1</v>
      </c>
      <c r="H30" s="1001">
        <v>1</v>
      </c>
      <c r="I30" s="1001">
        <v>1</v>
      </c>
      <c r="J30" s="1149">
        <f t="shared" si="0"/>
        <v>1</v>
      </c>
      <c r="K30" s="1150">
        <f t="shared" si="1"/>
        <v>1</v>
      </c>
      <c r="M30" s="1145">
        <f t="shared" si="3"/>
        <v>0.21000000000000005</v>
      </c>
      <c r="N30" s="1130">
        <f t="shared" si="2"/>
        <v>3.0637810156220375E-2</v>
      </c>
      <c r="P30" s="977">
        <v>2014</v>
      </c>
      <c r="Q30" s="963">
        <f>25602/plugs_per_station</f>
        <v>12801</v>
      </c>
      <c r="R30" s="963">
        <v>2931</v>
      </c>
      <c r="S30" s="964"/>
      <c r="T30" s="966">
        <v>103</v>
      </c>
      <c r="U30" s="960">
        <v>51</v>
      </c>
      <c r="V30" s="963">
        <v>783</v>
      </c>
      <c r="W30" s="963">
        <v>1495</v>
      </c>
      <c r="X30" s="963">
        <v>2840</v>
      </c>
      <c r="Y30" s="969">
        <f t="shared" ref="Y30:Y66" si="4">Y29</f>
        <v>156065</v>
      </c>
      <c r="Z30" s="343">
        <f>-1976.3*Table1[[#This Row],[Year]]+4130497.79</f>
        <v>150229.59000000032</v>
      </c>
      <c r="AC30" s="343">
        <v>2014</v>
      </c>
      <c r="AD30" s="1144">
        <f>Table1[[#This Row],[Electricity]]/Table1[[#This Row],[Gasoline]]</f>
        <v>8.2023515842757827E-2</v>
      </c>
      <c r="AE30" s="1144">
        <f>Table1[[#This Row],[Hydrogen]]/Table1[[#This Row],[Gasoline]]</f>
        <v>3.2678691570819853E-4</v>
      </c>
    </row>
    <row r="31" spans="2:31" x14ac:dyDescent="0.2">
      <c r="B31" s="1004">
        <v>2029</v>
      </c>
      <c r="C31" s="1009">
        <v>1</v>
      </c>
      <c r="D31" s="1001">
        <v>1</v>
      </c>
      <c r="E31" s="1001">
        <v>1</v>
      </c>
      <c r="F31" s="1001">
        <v>1</v>
      </c>
      <c r="G31" s="1001">
        <v>1</v>
      </c>
      <c r="H31" s="1001">
        <v>1</v>
      </c>
      <c r="I31" s="1001">
        <v>1</v>
      </c>
      <c r="J31" s="1149">
        <f t="shared" si="0"/>
        <v>1</v>
      </c>
      <c r="K31" s="1150">
        <f t="shared" si="1"/>
        <v>1</v>
      </c>
      <c r="M31" s="1145">
        <f t="shared" si="3"/>
        <v>0.22000000000000006</v>
      </c>
      <c r="N31" s="1130">
        <f t="shared" si="2"/>
        <v>3.6787242882874376E-2</v>
      </c>
      <c r="P31" s="977">
        <v>2015</v>
      </c>
      <c r="Q31" s="967">
        <f>30945/plugs_per_station</f>
        <v>15472.5</v>
      </c>
      <c r="R31" s="967">
        <v>3594</v>
      </c>
      <c r="S31" s="964"/>
      <c r="T31" s="967">
        <v>111</v>
      </c>
      <c r="U31" s="967">
        <v>45</v>
      </c>
      <c r="V31" s="967">
        <v>721</v>
      </c>
      <c r="W31" s="967">
        <v>1563</v>
      </c>
      <c r="X31" s="967">
        <v>2990</v>
      </c>
      <c r="Y31" s="969">
        <f t="shared" si="4"/>
        <v>156065</v>
      </c>
      <c r="Z31" s="343">
        <f>-1976.3*Table1[[#This Row],[Year]]+4130497.79</f>
        <v>148253.29000000004</v>
      </c>
      <c r="AC31" s="343">
        <v>2015</v>
      </c>
      <c r="AD31" s="1144">
        <f>Table1[[#This Row],[Electricity]]/Table1[[#This Row],[Gasoline]]</f>
        <v>9.9141383397943164E-2</v>
      </c>
      <c r="AE31" s="1144">
        <f>Table1[[#This Row],[Hydrogen]]/Table1[[#This Row],[Gasoline]]</f>
        <v>2.8834139621311631E-4</v>
      </c>
    </row>
    <row r="32" spans="2:31" x14ac:dyDescent="0.2">
      <c r="B32" s="1004">
        <v>2030</v>
      </c>
      <c r="C32" s="1009">
        <v>1</v>
      </c>
      <c r="D32" s="1001">
        <v>1</v>
      </c>
      <c r="E32" s="1001">
        <v>1</v>
      </c>
      <c r="F32" s="1001">
        <v>1</v>
      </c>
      <c r="G32" s="1001">
        <v>1</v>
      </c>
      <c r="H32" s="1001">
        <v>1</v>
      </c>
      <c r="I32" s="1001">
        <v>1</v>
      </c>
      <c r="J32" s="1149">
        <f t="shared" si="0"/>
        <v>1</v>
      </c>
      <c r="K32" s="1150">
        <f t="shared" si="1"/>
        <v>1</v>
      </c>
      <c r="M32" s="1145">
        <f t="shared" si="3"/>
        <v>0.23000000000000007</v>
      </c>
      <c r="N32" s="1130">
        <f t="shared" si="2"/>
        <v>4.3786973799347463E-2</v>
      </c>
      <c r="P32" s="977">
        <v>2016</v>
      </c>
      <c r="Q32" s="967">
        <f>42029/plugs_per_station</f>
        <v>21014.5</v>
      </c>
      <c r="R32" s="967">
        <v>3665</v>
      </c>
      <c r="S32" s="964"/>
      <c r="T32" s="967">
        <v>140</v>
      </c>
      <c r="U32" s="967">
        <v>54</v>
      </c>
      <c r="V32" s="967">
        <v>697</v>
      </c>
      <c r="W32" s="967">
        <v>1725</v>
      </c>
      <c r="X32" s="967">
        <v>3090</v>
      </c>
      <c r="Y32" s="969">
        <f t="shared" si="4"/>
        <v>156065</v>
      </c>
      <c r="Z32" s="343">
        <f>-1976.3*Table1[[#This Row],[Year]]+4130497.79</f>
        <v>146276.99000000022</v>
      </c>
      <c r="AC32" s="343">
        <v>2016</v>
      </c>
      <c r="AD32" s="1144">
        <f>Table1[[#This Row],[Electricity]]/Table1[[#This Row],[Gasoline]]</f>
        <v>0.13465222823823406</v>
      </c>
      <c r="AE32" s="1144">
        <f>Table1[[#This Row],[Hydrogen]]/Table1[[#This Row],[Gasoline]]</f>
        <v>3.4600967545573961E-4</v>
      </c>
    </row>
    <row r="33" spans="2:32" x14ac:dyDescent="0.2">
      <c r="B33" s="1004">
        <v>2031</v>
      </c>
      <c r="C33" s="1009">
        <v>1</v>
      </c>
      <c r="D33" s="1001">
        <v>1</v>
      </c>
      <c r="E33" s="1001">
        <v>1</v>
      </c>
      <c r="F33" s="1001">
        <v>1</v>
      </c>
      <c r="G33" s="1001">
        <v>1</v>
      </c>
      <c r="H33" s="1001">
        <v>1</v>
      </c>
      <c r="I33" s="1001">
        <v>1</v>
      </c>
      <c r="J33" s="1149">
        <f t="shared" si="0"/>
        <v>1</v>
      </c>
      <c r="K33" s="1150">
        <f t="shared" si="1"/>
        <v>1</v>
      </c>
      <c r="M33" s="1145">
        <f t="shared" si="3"/>
        <v>0.24000000000000007</v>
      </c>
      <c r="N33" s="1130">
        <f t="shared" si="2"/>
        <v>5.1699799821003561E-2</v>
      </c>
      <c r="P33" s="977">
        <v>2017</v>
      </c>
      <c r="Q33" s="965">
        <f>50627/plugs_per_station</f>
        <v>25313.5</v>
      </c>
      <c r="R33" s="385"/>
      <c r="S33" s="385"/>
      <c r="T33" s="385"/>
      <c r="U33" s="965">
        <v>63</v>
      </c>
      <c r="V33" s="385"/>
      <c r="W33" s="385"/>
      <c r="X33" s="385"/>
      <c r="Y33" s="969">
        <f t="shared" si="4"/>
        <v>156065</v>
      </c>
      <c r="Z33" s="343">
        <f>-1976.3*Table1[[#This Row],[Year]]+4130497.79</f>
        <v>144300.68999999994</v>
      </c>
      <c r="AC33" s="343">
        <v>2017</v>
      </c>
      <c r="AD33" s="1144">
        <f>Table1[[#This Row],[Electricity]]/Table1[[#This Row],[Gasoline]]</f>
        <v>0.16219844295646044</v>
      </c>
      <c r="AE33" s="1144">
        <f>Table1[[#This Row],[Hydrogen]]/Table1[[#This Row],[Gasoline]]</f>
        <v>4.0367795469836286E-4</v>
      </c>
    </row>
    <row r="34" spans="2:32" x14ac:dyDescent="0.2">
      <c r="B34" s="1004">
        <v>2032</v>
      </c>
      <c r="C34" s="1009">
        <v>1</v>
      </c>
      <c r="D34" s="1001">
        <v>1</v>
      </c>
      <c r="E34" s="1001">
        <v>1</v>
      </c>
      <c r="F34" s="1001">
        <v>1</v>
      </c>
      <c r="G34" s="1001">
        <v>1</v>
      </c>
      <c r="H34" s="1001">
        <v>1</v>
      </c>
      <c r="I34" s="1001">
        <v>1</v>
      </c>
      <c r="J34" s="1149">
        <f t="shared" si="0"/>
        <v>1</v>
      </c>
      <c r="K34" s="1150">
        <f t="shared" si="1"/>
        <v>1</v>
      </c>
      <c r="M34" s="1145">
        <f t="shared" si="3"/>
        <v>0.25000000000000006</v>
      </c>
      <c r="N34" s="1130">
        <f t="shared" si="2"/>
        <v>6.0586937186524262E-2</v>
      </c>
      <c r="P34" s="977">
        <v>2018</v>
      </c>
      <c r="Q34" s="965">
        <f>61067/plugs_per_station</f>
        <v>30533.5</v>
      </c>
      <c r="R34" s="385"/>
      <c r="S34" s="385"/>
      <c r="T34" s="385"/>
      <c r="U34" s="965">
        <v>41</v>
      </c>
      <c r="V34" s="385"/>
      <c r="W34" s="385"/>
      <c r="X34" s="385"/>
      <c r="Y34" s="969">
        <f t="shared" si="4"/>
        <v>156065</v>
      </c>
      <c r="Z34" s="343">
        <f>-1976.3*Table1[[#This Row],[Year]]+4130497.79</f>
        <v>142324.39000000013</v>
      </c>
      <c r="AC34" s="343">
        <v>2018</v>
      </c>
      <c r="AD34" s="1144">
        <f>Table1[[#This Row],[Electricity]]/Table1[[#This Row],[Gasoline]]</f>
        <v>0.19564604491718193</v>
      </c>
      <c r="AE34" s="1144">
        <f>Table1[[#This Row],[Hydrogen]]/Table1[[#This Row],[Gasoline]]</f>
        <v>2.6271104988306155E-4</v>
      </c>
    </row>
    <row r="35" spans="2:32" x14ac:dyDescent="0.2">
      <c r="B35" s="1004">
        <v>2033</v>
      </c>
      <c r="C35" s="1009">
        <v>1</v>
      </c>
      <c r="D35" s="1001">
        <v>1</v>
      </c>
      <c r="E35" s="1001">
        <v>1</v>
      </c>
      <c r="F35" s="1001">
        <v>1</v>
      </c>
      <c r="G35" s="1001">
        <v>1</v>
      </c>
      <c r="H35" s="1001">
        <v>1</v>
      </c>
      <c r="I35" s="1001">
        <v>1</v>
      </c>
      <c r="J35" s="1149">
        <f t="shared" si="0"/>
        <v>1</v>
      </c>
      <c r="K35" s="1150">
        <f t="shared" si="1"/>
        <v>1</v>
      </c>
      <c r="M35" s="1145">
        <f t="shared" si="3"/>
        <v>0.26000000000000006</v>
      </c>
      <c r="N35" s="1130">
        <f t="shared" si="2"/>
        <v>7.0507146135246307E-2</v>
      </c>
      <c r="P35" s="977">
        <v>2019</v>
      </c>
      <c r="Q35" s="965">
        <f>$R$109+P35*$R$110</f>
        <v>32521.333333333954</v>
      </c>
      <c r="R35" s="385"/>
      <c r="S35" s="385"/>
      <c r="T35" s="385"/>
      <c r="U35" s="965">
        <v>57</v>
      </c>
      <c r="V35" s="385"/>
      <c r="W35" s="385"/>
      <c r="X35" s="385"/>
      <c r="Y35" s="969">
        <f t="shared" si="4"/>
        <v>156065</v>
      </c>
      <c r="Z35" s="343">
        <f>-1976.3*Table1[[#This Row],[Year]]+4130497.79</f>
        <v>140348.09000000032</v>
      </c>
      <c r="AC35" s="343">
        <v>2019</v>
      </c>
      <c r="AD35" s="1144">
        <f>Table1[[#This Row],[Electricity]]/Table1[[#This Row],[Gasoline]]</f>
        <v>0.20838325911212607</v>
      </c>
      <c r="AE35" s="1144">
        <f>Table1[[#This Row],[Hydrogen]]/Table1[[#This Row],[Gasoline]]</f>
        <v>3.652324352032807E-4</v>
      </c>
    </row>
    <row r="36" spans="2:32" x14ac:dyDescent="0.2">
      <c r="B36" s="1004">
        <v>2034</v>
      </c>
      <c r="C36" s="1009">
        <v>1</v>
      </c>
      <c r="D36" s="1001">
        <v>1</v>
      </c>
      <c r="E36" s="1001">
        <v>1</v>
      </c>
      <c r="F36" s="1001">
        <v>1</v>
      </c>
      <c r="G36" s="1001">
        <v>1</v>
      </c>
      <c r="H36" s="1001">
        <v>1</v>
      </c>
      <c r="I36" s="1001">
        <v>1</v>
      </c>
      <c r="J36" s="1149">
        <f t="shared" si="0"/>
        <v>1</v>
      </c>
      <c r="K36" s="1150">
        <f t="shared" si="1"/>
        <v>1</v>
      </c>
      <c r="M36" s="1145">
        <f t="shared" si="3"/>
        <v>0.27000000000000007</v>
      </c>
      <c r="N36" s="1130">
        <f t="shared" si="2"/>
        <v>8.1515784905052846E-2</v>
      </c>
      <c r="P36" s="977">
        <v>2020</v>
      </c>
      <c r="Q36" s="965">
        <f t="shared" ref="Q36:Q66" si="5">$R$109+P36*$R$110</f>
        <v>36275.06666666735</v>
      </c>
      <c r="R36" s="620"/>
      <c r="S36" s="620"/>
      <c r="T36" s="620"/>
      <c r="U36" s="965">
        <v>75</v>
      </c>
      <c r="V36" s="620"/>
      <c r="W36" s="620"/>
      <c r="X36" s="620"/>
      <c r="Y36" s="969">
        <f t="shared" si="4"/>
        <v>156065</v>
      </c>
      <c r="Z36" s="345">
        <f>-1976.3*Table1[[#This Row],[Year]]+4130497.79</f>
        <v>138371.79000000004</v>
      </c>
      <c r="AA36" s="345"/>
      <c r="AB36" s="345"/>
      <c r="AC36" s="345">
        <v>2020</v>
      </c>
      <c r="AD36" s="1144">
        <f>Table1[[#This Row],[Electricity]]/Table1[[#This Row],[Gasoline]]</f>
        <v>0.23243563045312754</v>
      </c>
      <c r="AE36" s="1144">
        <f>Table1[[#This Row],[Hydrogen]]/Table1[[#This Row],[Gasoline]]</f>
        <v>4.805689936885272E-4</v>
      </c>
      <c r="AF36" s="345"/>
    </row>
    <row r="37" spans="2:32" x14ac:dyDescent="0.2">
      <c r="B37" s="1004">
        <v>2035</v>
      </c>
      <c r="C37" s="1009">
        <v>1</v>
      </c>
      <c r="D37" s="1001">
        <v>1</v>
      </c>
      <c r="E37" s="1001">
        <v>1</v>
      </c>
      <c r="F37" s="1001">
        <v>1</v>
      </c>
      <c r="G37" s="1001">
        <v>1</v>
      </c>
      <c r="H37" s="1001">
        <v>1</v>
      </c>
      <c r="I37" s="1001">
        <v>1</v>
      </c>
      <c r="J37" s="1149">
        <f t="shared" si="0"/>
        <v>1</v>
      </c>
      <c r="K37" s="1150">
        <f t="shared" si="1"/>
        <v>1</v>
      </c>
      <c r="M37" s="1145">
        <f t="shared" si="3"/>
        <v>0.28000000000000008</v>
      </c>
      <c r="N37" s="1130">
        <f t="shared" si="2"/>
        <v>9.3663799913688631E-2</v>
      </c>
      <c r="P37" s="977">
        <v>2021</v>
      </c>
      <c r="Q37" s="965">
        <f t="shared" si="5"/>
        <v>40028.800000000745</v>
      </c>
      <c r="R37" s="385"/>
      <c r="S37" s="385"/>
      <c r="T37" s="385"/>
      <c r="U37" s="965">
        <v>111</v>
      </c>
      <c r="V37" s="385"/>
      <c r="W37" s="385"/>
      <c r="X37" s="385"/>
      <c r="Y37" s="969">
        <f t="shared" si="4"/>
        <v>156065</v>
      </c>
      <c r="Z37" s="343">
        <f>-1976.3*Table1[[#This Row],[Year]]+4130497.79</f>
        <v>136395.49000000022</v>
      </c>
      <c r="AC37" s="343">
        <v>2021</v>
      </c>
      <c r="AD37" s="1144">
        <f>Table1[[#This Row],[Electricity]]/Table1[[#This Row],[Gasoline]]</f>
        <v>0.25648800179412901</v>
      </c>
      <c r="AE37" s="1144">
        <f>Table1[[#This Row],[Hydrogen]]/Table1[[#This Row],[Gasoline]]</f>
        <v>7.1124211065902031E-4</v>
      </c>
    </row>
    <row r="38" spans="2:32" x14ac:dyDescent="0.2">
      <c r="B38" s="1004">
        <v>2036</v>
      </c>
      <c r="C38" s="1009">
        <v>1</v>
      </c>
      <c r="D38" s="1001">
        <v>1</v>
      </c>
      <c r="E38" s="1001">
        <v>1</v>
      </c>
      <c r="F38" s="1001">
        <v>1</v>
      </c>
      <c r="G38" s="1001">
        <v>1</v>
      </c>
      <c r="H38" s="1001">
        <v>1</v>
      </c>
      <c r="I38" s="1001">
        <v>1</v>
      </c>
      <c r="J38" s="1149">
        <f t="shared" si="0"/>
        <v>1</v>
      </c>
      <c r="K38" s="1150">
        <f t="shared" si="1"/>
        <v>1</v>
      </c>
      <c r="M38" s="1145">
        <f t="shared" si="3"/>
        <v>0.29000000000000009</v>
      </c>
      <c r="N38" s="1130">
        <f t="shared" si="2"/>
        <v>0.10699666186542625</v>
      </c>
      <c r="P38" s="977">
        <v>2022</v>
      </c>
      <c r="Q38" s="965">
        <f t="shared" si="5"/>
        <v>43782.53333333414</v>
      </c>
      <c r="R38" s="385"/>
      <c r="S38" s="385"/>
      <c r="T38" s="385"/>
      <c r="U38" s="965">
        <v>161</v>
      </c>
      <c r="V38" s="385"/>
      <c r="W38" s="385"/>
      <c r="X38" s="385"/>
      <c r="Y38" s="969">
        <f t="shared" si="4"/>
        <v>156065</v>
      </c>
      <c r="Z38" s="343">
        <f>-1976.3*Table1[[#This Row],[Year]]+4130497.79</f>
        <v>134419.18999999994</v>
      </c>
      <c r="AC38" s="343">
        <v>2022</v>
      </c>
      <c r="AD38" s="1144">
        <f>Table1[[#This Row],[Electricity]]/Table1[[#This Row],[Gasoline]]</f>
        <v>0.28054037313513047</v>
      </c>
      <c r="AE38" s="1144">
        <f>Table1[[#This Row],[Hydrogen]]/Table1[[#This Row],[Gasoline]]</f>
        <v>1.0316214397847051E-3</v>
      </c>
    </row>
    <row r="39" spans="2:32" x14ac:dyDescent="0.2">
      <c r="B39" s="1004">
        <v>2037</v>
      </c>
      <c r="C39" s="1009">
        <v>1</v>
      </c>
      <c r="D39" s="1001">
        <v>1</v>
      </c>
      <c r="E39" s="1001">
        <v>1</v>
      </c>
      <c r="F39" s="1001">
        <v>1</v>
      </c>
      <c r="G39" s="1001">
        <v>1</v>
      </c>
      <c r="H39" s="1001">
        <v>1</v>
      </c>
      <c r="I39" s="1001">
        <v>1</v>
      </c>
      <c r="J39" s="1149">
        <f t="shared" si="0"/>
        <v>1</v>
      </c>
      <c r="K39" s="1150">
        <f t="shared" si="1"/>
        <v>1</v>
      </c>
      <c r="M39" s="1145">
        <f t="shared" si="3"/>
        <v>0.3000000000000001</v>
      </c>
      <c r="N39" s="1130">
        <f t="shared" si="2"/>
        <v>0.12155326065006883</v>
      </c>
      <c r="P39" s="977">
        <v>2023</v>
      </c>
      <c r="Q39" s="965">
        <f t="shared" si="5"/>
        <v>47536.266666667536</v>
      </c>
      <c r="R39" s="385"/>
      <c r="S39" s="385"/>
      <c r="T39" s="385"/>
      <c r="U39" s="965">
        <v>246</v>
      </c>
      <c r="V39" s="385"/>
      <c r="W39" s="385"/>
      <c r="X39" s="385"/>
      <c r="Y39" s="969">
        <f t="shared" si="4"/>
        <v>156065</v>
      </c>
      <c r="Z39" s="343">
        <f>-1976.3*Table1[[#This Row],[Year]]+4130497.79</f>
        <v>132442.89000000013</v>
      </c>
      <c r="AC39" s="343">
        <v>2023</v>
      </c>
      <c r="AD39" s="1144">
        <f>Table1[[#This Row],[Electricity]]/Table1[[#This Row],[Gasoline]]</f>
        <v>0.30459274447613199</v>
      </c>
      <c r="AE39" s="1144">
        <f>Table1[[#This Row],[Hydrogen]]/Table1[[#This Row],[Gasoline]]</f>
        <v>1.5762662992983693E-3</v>
      </c>
    </row>
    <row r="40" spans="2:32" x14ac:dyDescent="0.2">
      <c r="B40" s="1004">
        <v>2038</v>
      </c>
      <c r="C40" s="1009">
        <v>1</v>
      </c>
      <c r="D40" s="1001">
        <v>1</v>
      </c>
      <c r="E40" s="1001">
        <v>1</v>
      </c>
      <c r="F40" s="1001">
        <v>1</v>
      </c>
      <c r="G40" s="1001">
        <v>1</v>
      </c>
      <c r="H40" s="1001">
        <v>1</v>
      </c>
      <c r="I40" s="1001">
        <v>1</v>
      </c>
      <c r="J40" s="1149">
        <f t="shared" si="0"/>
        <v>1</v>
      </c>
      <c r="K40" s="1150">
        <f t="shared" si="1"/>
        <v>1</v>
      </c>
      <c r="M40" s="1145">
        <f t="shared" si="3"/>
        <v>0.31000000000000011</v>
      </c>
      <c r="N40" s="1130">
        <f t="shared" si="2"/>
        <v>0.13736477520959006</v>
      </c>
      <c r="P40" s="977">
        <v>2024</v>
      </c>
      <c r="Q40" s="965">
        <f t="shared" si="5"/>
        <v>51290.000000000931</v>
      </c>
      <c r="R40" s="385"/>
      <c r="S40" s="385"/>
      <c r="T40" s="385"/>
      <c r="U40" s="965">
        <v>967</v>
      </c>
      <c r="V40" s="385"/>
      <c r="W40" s="385"/>
      <c r="X40" s="385"/>
      <c r="Y40" s="969">
        <f t="shared" si="4"/>
        <v>156065</v>
      </c>
      <c r="Z40" s="343">
        <f>-1976.3*Table1[[#This Row],[Year]]+4130497.79</f>
        <v>130466.59000000032</v>
      </c>
      <c r="AC40" s="343">
        <v>2024</v>
      </c>
      <c r="AD40" s="1144">
        <f>Table1[[#This Row],[Electricity]]/Table1[[#This Row],[Gasoline]]</f>
        <v>0.32864511581713346</v>
      </c>
      <c r="AE40" s="1144">
        <f>Table1[[#This Row],[Hydrogen]]/Table1[[#This Row],[Gasoline]]</f>
        <v>6.1961362252907441E-3</v>
      </c>
    </row>
    <row r="41" spans="2:32" x14ac:dyDescent="0.2">
      <c r="B41" s="1004">
        <v>2039</v>
      </c>
      <c r="C41" s="1009">
        <v>1</v>
      </c>
      <c r="D41" s="1001">
        <v>1</v>
      </c>
      <c r="E41" s="1001">
        <v>1</v>
      </c>
      <c r="F41" s="1001">
        <v>1</v>
      </c>
      <c r="G41" s="1001">
        <v>1</v>
      </c>
      <c r="H41" s="1001">
        <v>1</v>
      </c>
      <c r="I41" s="1001">
        <v>1</v>
      </c>
      <c r="J41" s="1149">
        <f t="shared" si="0"/>
        <v>1</v>
      </c>
      <c r="K41" s="1150">
        <f t="shared" si="1"/>
        <v>1</v>
      </c>
      <c r="M41" s="1145">
        <f t="shared" si="3"/>
        <v>0.32000000000000012</v>
      </c>
      <c r="N41" s="1130">
        <f t="shared" ref="N41:N59" si="6">WEIBULL(M41,$N$4,$N$5,$N$6)</f>
        <v>0.15445353795437128</v>
      </c>
      <c r="P41" s="977">
        <v>2025</v>
      </c>
      <c r="Q41" s="965">
        <f t="shared" si="5"/>
        <v>55043.733333334327</v>
      </c>
      <c r="R41" s="385"/>
      <c r="S41" s="385"/>
      <c r="T41" s="385"/>
      <c r="U41" s="965">
        <v>1975</v>
      </c>
      <c r="V41" s="385"/>
      <c r="W41" s="385"/>
      <c r="X41" s="385"/>
      <c r="Y41" s="969">
        <f t="shared" si="4"/>
        <v>156065</v>
      </c>
      <c r="Z41" s="343">
        <f>-1976.3*Table1[[#This Row],[Year]]+4130497.79</f>
        <v>128490.29000000004</v>
      </c>
      <c r="AC41" s="343">
        <v>2025</v>
      </c>
      <c r="AD41" s="1144">
        <f>Table1[[#This Row],[Electricity]]/Table1[[#This Row],[Gasoline]]</f>
        <v>0.35269748715813493</v>
      </c>
      <c r="AE41" s="1144">
        <f>Table1[[#This Row],[Hydrogen]]/Table1[[#This Row],[Gasoline]]</f>
        <v>1.265498350046455E-2</v>
      </c>
    </row>
    <row r="42" spans="2:32" x14ac:dyDescent="0.2">
      <c r="B42" s="1004">
        <v>2040</v>
      </c>
      <c r="C42" s="1009">
        <v>1</v>
      </c>
      <c r="D42" s="1001">
        <v>1</v>
      </c>
      <c r="E42" s="1001">
        <v>1</v>
      </c>
      <c r="F42" s="1001">
        <v>1</v>
      </c>
      <c r="G42" s="1001">
        <v>1</v>
      </c>
      <c r="H42" s="1001">
        <v>1</v>
      </c>
      <c r="I42" s="1001">
        <v>1</v>
      </c>
      <c r="J42" s="1149">
        <f t="shared" si="0"/>
        <v>1</v>
      </c>
      <c r="K42" s="1150">
        <f t="shared" si="1"/>
        <v>1</v>
      </c>
      <c r="M42" s="1145">
        <f t="shared" si="3"/>
        <v>0.33000000000000013</v>
      </c>
      <c r="N42" s="1130">
        <f t="shared" si="6"/>
        <v>0.17283191670766812</v>
      </c>
      <c r="P42" s="977">
        <v>2026</v>
      </c>
      <c r="Q42" s="965">
        <f t="shared" si="5"/>
        <v>58797.466666666791</v>
      </c>
      <c r="R42" s="385"/>
      <c r="S42" s="385"/>
      <c r="T42" s="385"/>
      <c r="U42" s="965">
        <v>3242.3900000000003</v>
      </c>
      <c r="V42" s="385"/>
      <c r="W42" s="385"/>
      <c r="X42" s="385"/>
      <c r="Y42" s="969">
        <f t="shared" si="4"/>
        <v>156065</v>
      </c>
      <c r="Z42" s="343">
        <f>-1976.3*Table1[[#This Row],[Year]]+4130497.79</f>
        <v>126513.99000000022</v>
      </c>
      <c r="AC42" s="343">
        <v>2026</v>
      </c>
      <c r="AD42" s="1144">
        <f>Table1[[#This Row],[Electricity]]/Table1[[#This Row],[Gasoline]]</f>
        <v>0.37674985849913045</v>
      </c>
      <c r="AE42" s="1144">
        <f>Table1[[#This Row],[Hydrogen]]/Table1[[#This Row],[Gasoline]]</f>
        <v>2.0775894659276584E-2</v>
      </c>
    </row>
    <row r="43" spans="2:32" x14ac:dyDescent="0.2">
      <c r="B43" s="1004">
        <v>2041</v>
      </c>
      <c r="C43" s="1009">
        <v>1</v>
      </c>
      <c r="D43" s="1001">
        <v>1</v>
      </c>
      <c r="E43" s="1001">
        <v>1</v>
      </c>
      <c r="F43" s="1001">
        <v>1</v>
      </c>
      <c r="G43" s="1001">
        <v>1</v>
      </c>
      <c r="H43" s="1001">
        <v>1</v>
      </c>
      <c r="I43" s="1001">
        <v>1</v>
      </c>
      <c r="J43" s="1149">
        <f t="shared" si="0"/>
        <v>1</v>
      </c>
      <c r="K43" s="1150">
        <f t="shared" si="1"/>
        <v>1</v>
      </c>
      <c r="M43" s="1145">
        <f t="shared" si="3"/>
        <v>0.34000000000000014</v>
      </c>
      <c r="N43" s="1130">
        <f t="shared" si="6"/>
        <v>0.19250124041164726</v>
      </c>
      <c r="P43" s="977">
        <v>2027</v>
      </c>
      <c r="Q43" s="965">
        <f t="shared" si="5"/>
        <v>62551.200000000186</v>
      </c>
      <c r="R43" s="385"/>
      <c r="S43" s="385"/>
      <c r="T43" s="385"/>
      <c r="U43" s="965">
        <v>4626.9699999999993</v>
      </c>
      <c r="V43" s="385"/>
      <c r="W43" s="385"/>
      <c r="X43" s="385"/>
      <c r="Y43" s="969">
        <f t="shared" si="4"/>
        <v>156065</v>
      </c>
      <c r="Z43" s="343">
        <f>-1976.3*Table1[[#This Row],[Year]]+4130497.79</f>
        <v>124537.68999999994</v>
      </c>
      <c r="AC43" s="343">
        <v>2027</v>
      </c>
      <c r="AD43" s="1144">
        <f>Table1[[#This Row],[Electricity]]/Table1[[#This Row],[Gasoline]]</f>
        <v>0.40080222984013192</v>
      </c>
      <c r="AE43" s="1144">
        <f>Table1[[#This Row],[Hydrogen]]/Table1[[#This Row],[Gasoline]]</f>
        <v>2.9647710889693393E-2</v>
      </c>
    </row>
    <row r="44" spans="2:32" x14ac:dyDescent="0.2">
      <c r="B44" s="1004">
        <v>2042</v>
      </c>
      <c r="C44" s="1009">
        <v>1</v>
      </c>
      <c r="D44" s="1001">
        <v>1</v>
      </c>
      <c r="E44" s="1001">
        <v>1</v>
      </c>
      <c r="F44" s="1001">
        <v>1</v>
      </c>
      <c r="G44" s="1001">
        <v>1</v>
      </c>
      <c r="H44" s="1001">
        <v>1</v>
      </c>
      <c r="I44" s="1001">
        <v>1</v>
      </c>
      <c r="J44" s="1149">
        <f t="shared" si="0"/>
        <v>1</v>
      </c>
      <c r="K44" s="1150">
        <f t="shared" si="1"/>
        <v>1</v>
      </c>
      <c r="M44" s="1145">
        <f t="shared" si="3"/>
        <v>0.35000000000000014</v>
      </c>
      <c r="N44" s="1130">
        <f t="shared" si="6"/>
        <v>0.21345079778654535</v>
      </c>
      <c r="P44" s="977">
        <v>2028</v>
      </c>
      <c r="Q44" s="965">
        <f t="shared" si="5"/>
        <v>66304.933333333582</v>
      </c>
      <c r="R44" s="385"/>
      <c r="S44" s="385"/>
      <c r="T44" s="385"/>
      <c r="U44" s="965">
        <v>6873.7499999999991</v>
      </c>
      <c r="V44" s="385"/>
      <c r="W44" s="385"/>
      <c r="X44" s="385"/>
      <c r="Y44" s="969">
        <f t="shared" si="4"/>
        <v>156065</v>
      </c>
      <c r="Z44" s="343">
        <f>-1976.3*Table1[[#This Row],[Year]]+4130497.79</f>
        <v>122561.39000000013</v>
      </c>
      <c r="AC44" s="343">
        <v>2028</v>
      </c>
      <c r="AD44" s="1144">
        <f>Table1[[#This Row],[Electricity]]/Table1[[#This Row],[Gasoline]]</f>
        <v>0.42485460118113338</v>
      </c>
      <c r="AE44" s="1144">
        <f>Table1[[#This Row],[Hydrogen]]/Table1[[#This Row],[Gasoline]]</f>
        <v>4.4044148271553514E-2</v>
      </c>
    </row>
    <row r="45" spans="2:32" x14ac:dyDescent="0.2">
      <c r="B45" s="1004">
        <v>2043</v>
      </c>
      <c r="C45" s="1009">
        <v>1</v>
      </c>
      <c r="D45" s="1001">
        <v>1</v>
      </c>
      <c r="E45" s="1001">
        <v>1</v>
      </c>
      <c r="F45" s="1001">
        <v>1</v>
      </c>
      <c r="G45" s="1001">
        <v>1</v>
      </c>
      <c r="H45" s="1001">
        <v>1</v>
      </c>
      <c r="I45" s="1001">
        <v>1</v>
      </c>
      <c r="J45" s="1149">
        <f t="shared" si="0"/>
        <v>1</v>
      </c>
      <c r="K45" s="1150">
        <f t="shared" si="1"/>
        <v>1</v>
      </c>
      <c r="M45" s="1145">
        <f t="shared" si="3"/>
        <v>0.36000000000000015</v>
      </c>
      <c r="N45" s="1130">
        <f t="shared" si="6"/>
        <v>0.23565694062183914</v>
      </c>
      <c r="P45" s="977">
        <v>2029</v>
      </c>
      <c r="Q45" s="965">
        <f t="shared" si="5"/>
        <v>70058.666666666977</v>
      </c>
      <c r="R45" s="385"/>
      <c r="S45" s="385"/>
      <c r="T45" s="385"/>
      <c r="U45" s="965">
        <v>8874.9</v>
      </c>
      <c r="V45" s="385"/>
      <c r="W45" s="385"/>
      <c r="X45" s="385"/>
      <c r="Y45" s="969">
        <f t="shared" si="4"/>
        <v>156065</v>
      </c>
      <c r="Z45" s="343">
        <f>-1976.3*Table1[[#This Row],[Year]]+4130497.79</f>
        <v>120585.09000000032</v>
      </c>
      <c r="AC45" s="343">
        <v>2029</v>
      </c>
      <c r="AD45" s="1144">
        <f>Table1[[#This Row],[Electricity]]/Table1[[#This Row],[Gasoline]]</f>
        <v>0.44890697252213485</v>
      </c>
      <c r="AE45" s="1144">
        <f>Table1[[#This Row],[Hydrogen]]/Table1[[#This Row],[Gasoline]]</f>
        <v>5.6866690161150799E-2</v>
      </c>
    </row>
    <row r="46" spans="2:32" x14ac:dyDescent="0.2">
      <c r="B46" s="1004">
        <v>2044</v>
      </c>
      <c r="C46" s="1009">
        <v>1</v>
      </c>
      <c r="D46" s="1001">
        <v>1</v>
      </c>
      <c r="E46" s="1001">
        <v>1</v>
      </c>
      <c r="F46" s="1001">
        <v>1</v>
      </c>
      <c r="G46" s="1001">
        <v>1</v>
      </c>
      <c r="H46" s="1001">
        <v>1</v>
      </c>
      <c r="I46" s="1001">
        <v>1</v>
      </c>
      <c r="J46" s="1149">
        <f t="shared" si="0"/>
        <v>1</v>
      </c>
      <c r="K46" s="1150">
        <f t="shared" si="1"/>
        <v>1</v>
      </c>
      <c r="M46" s="1145">
        <f t="shared" si="3"/>
        <v>0.37000000000000016</v>
      </c>
      <c r="N46" s="1130">
        <f t="shared" si="6"/>
        <v>0.25908232520512747</v>
      </c>
      <c r="P46" s="977">
        <v>2030</v>
      </c>
      <c r="Q46" s="965">
        <f t="shared" si="5"/>
        <v>73812.400000000373</v>
      </c>
      <c r="R46" s="385"/>
      <c r="S46" s="385"/>
      <c r="T46" s="385"/>
      <c r="U46" s="965">
        <v>11075.6</v>
      </c>
      <c r="V46" s="385"/>
      <c r="W46" s="385"/>
      <c r="X46" s="385"/>
      <c r="Y46" s="969">
        <f t="shared" si="4"/>
        <v>156065</v>
      </c>
      <c r="Z46" s="343">
        <f>-1976.3*Table1[[#This Row],[Year]]+4130497.79</f>
        <v>118608.79000000004</v>
      </c>
      <c r="AC46" s="343">
        <v>2030</v>
      </c>
      <c r="AD46" s="1144">
        <f>Table1[[#This Row],[Electricity]]/Table1[[#This Row],[Gasoline]]</f>
        <v>0.47295934386313632</v>
      </c>
      <c r="AE46" s="1144">
        <f>Table1[[#This Row],[Hydrogen]]/Table1[[#This Row],[Gasoline]]</f>
        <v>7.0967865953288703E-2</v>
      </c>
    </row>
    <row r="47" spans="2:32" x14ac:dyDescent="0.2">
      <c r="B47" s="1004">
        <v>2045</v>
      </c>
      <c r="C47" s="1009">
        <v>1</v>
      </c>
      <c r="D47" s="1001">
        <v>1</v>
      </c>
      <c r="E47" s="1001">
        <v>1</v>
      </c>
      <c r="F47" s="1001">
        <v>1</v>
      </c>
      <c r="G47" s="1001">
        <v>1</v>
      </c>
      <c r="H47" s="1001">
        <v>1</v>
      </c>
      <c r="I47" s="1001">
        <v>1</v>
      </c>
      <c r="J47" s="1149">
        <f t="shared" si="0"/>
        <v>1</v>
      </c>
      <c r="K47" s="1150">
        <f t="shared" si="1"/>
        <v>1</v>
      </c>
      <c r="M47" s="1145">
        <f t="shared" si="3"/>
        <v>0.38000000000000017</v>
      </c>
      <c r="N47" s="1130">
        <f t="shared" si="6"/>
        <v>0.28367532636244841</v>
      </c>
      <c r="P47" s="977">
        <v>2031</v>
      </c>
      <c r="Q47" s="965">
        <f t="shared" si="5"/>
        <v>77566.133333333768</v>
      </c>
      <c r="R47" s="385"/>
      <c r="S47" s="385"/>
      <c r="T47" s="385"/>
      <c r="U47" s="965">
        <v>13478.789999999997</v>
      </c>
      <c r="V47" s="385"/>
      <c r="W47" s="385"/>
      <c r="X47" s="385"/>
      <c r="Y47" s="969">
        <f t="shared" si="4"/>
        <v>156065</v>
      </c>
      <c r="Z47" s="343">
        <f>-1976.3*Table1[[#This Row],[Year]]+4130497.79</f>
        <v>116632.49000000022</v>
      </c>
      <c r="AC47" s="343">
        <v>2031</v>
      </c>
      <c r="AD47" s="1144">
        <f>Table1[[#This Row],[Electricity]]/Table1[[#This Row],[Gasoline]]</f>
        <v>0.49701171520413784</v>
      </c>
      <c r="AE47" s="1144">
        <f>Table1[[#This Row],[Hydrogen]]/Table1[[#This Row],[Gasoline]]</f>
        <v>8.6366513952519763E-2</v>
      </c>
    </row>
    <row r="48" spans="2:32" x14ac:dyDescent="0.2">
      <c r="B48" s="1004">
        <v>2046</v>
      </c>
      <c r="C48" s="1009">
        <v>1</v>
      </c>
      <c r="D48" s="1001">
        <v>1</v>
      </c>
      <c r="E48" s="1001">
        <v>1</v>
      </c>
      <c r="F48" s="1001">
        <v>1</v>
      </c>
      <c r="G48" s="1001">
        <v>1</v>
      </c>
      <c r="H48" s="1001">
        <v>1</v>
      </c>
      <c r="I48" s="1001">
        <v>1</v>
      </c>
      <c r="J48" s="1149">
        <f t="shared" si="0"/>
        <v>1</v>
      </c>
      <c r="K48" s="1150">
        <f t="shared" si="1"/>
        <v>1</v>
      </c>
      <c r="M48" s="1145">
        <f t="shared" si="3"/>
        <v>0.39000000000000018</v>
      </c>
      <c r="N48" s="1130">
        <f t="shared" si="6"/>
        <v>0.30936965849496828</v>
      </c>
      <c r="P48" s="977">
        <v>2032</v>
      </c>
      <c r="Q48" s="965">
        <f t="shared" si="5"/>
        <v>81319.866666667163</v>
      </c>
      <c r="R48" s="385"/>
      <c r="S48" s="385"/>
      <c r="T48" s="385"/>
      <c r="U48" s="965">
        <v>16001.890000000003</v>
      </c>
      <c r="V48" s="385"/>
      <c r="W48" s="385"/>
      <c r="X48" s="385"/>
      <c r="Y48" s="969">
        <f t="shared" si="4"/>
        <v>156065</v>
      </c>
      <c r="Z48" s="343">
        <f>-1976.3*Table1[[#This Row],[Year]]+4130497.79</f>
        <v>114656.18999999994</v>
      </c>
      <c r="AC48" s="343">
        <v>2032</v>
      </c>
      <c r="AD48" s="1144">
        <f>Table1[[#This Row],[Electricity]]/Table1[[#This Row],[Gasoline]]</f>
        <v>0.52106408654513925</v>
      </c>
      <c r="AE48" s="1144">
        <f>Table1[[#This Row],[Hydrogen]]/Table1[[#This Row],[Gasoline]]</f>
        <v>0.10253349565886011</v>
      </c>
    </row>
    <row r="49" spans="2:31" x14ac:dyDescent="0.2">
      <c r="B49" s="1004">
        <v>2047</v>
      </c>
      <c r="C49" s="1009">
        <v>1</v>
      </c>
      <c r="D49" s="1001">
        <v>1</v>
      </c>
      <c r="E49" s="1001">
        <v>1</v>
      </c>
      <c r="F49" s="1001">
        <v>1</v>
      </c>
      <c r="G49" s="1001">
        <v>1</v>
      </c>
      <c r="H49" s="1001">
        <v>1</v>
      </c>
      <c r="I49" s="1001">
        <v>1</v>
      </c>
      <c r="J49" s="1149">
        <f t="shared" si="0"/>
        <v>1</v>
      </c>
      <c r="K49" s="1150">
        <f t="shared" si="1"/>
        <v>1</v>
      </c>
      <c r="M49" s="1145">
        <f t="shared" si="3"/>
        <v>0.40000000000000019</v>
      </c>
      <c r="N49" s="1130">
        <f t="shared" si="6"/>
        <v>0.33608423666452697</v>
      </c>
      <c r="P49" s="977">
        <v>2033</v>
      </c>
      <c r="Q49" s="965">
        <f t="shared" si="5"/>
        <v>85073.600000000559</v>
      </c>
      <c r="R49" s="385"/>
      <c r="S49" s="385"/>
      <c r="T49" s="385"/>
      <c r="U49" s="965">
        <v>18199.889999999996</v>
      </c>
      <c r="V49" s="385"/>
      <c r="W49" s="385"/>
      <c r="X49" s="385"/>
      <c r="Y49" s="969">
        <f t="shared" si="4"/>
        <v>156065</v>
      </c>
      <c r="Z49" s="343">
        <f>-1976.3*Table1[[#This Row],[Year]]+4130497.79</f>
        <v>112679.89000000013</v>
      </c>
      <c r="AC49" s="343">
        <v>2033</v>
      </c>
      <c r="AD49" s="1144">
        <f>Table1[[#This Row],[Electricity]]/Table1[[#This Row],[Gasoline]]</f>
        <v>0.54511645788614072</v>
      </c>
      <c r="AE49" s="1144">
        <f>Table1[[#This Row],[Hydrogen]]/Table1[[#This Row],[Gasoline]]</f>
        <v>0.11661737096722517</v>
      </c>
    </row>
    <row r="50" spans="2:31" x14ac:dyDescent="0.2">
      <c r="B50" s="1004">
        <v>2048</v>
      </c>
      <c r="C50" s="1009">
        <v>1</v>
      </c>
      <c r="D50" s="1001">
        <v>1</v>
      </c>
      <c r="E50" s="1001">
        <v>1</v>
      </c>
      <c r="F50" s="1001">
        <v>1</v>
      </c>
      <c r="G50" s="1001">
        <v>1</v>
      </c>
      <c r="H50" s="1001">
        <v>1</v>
      </c>
      <c r="I50" s="1001">
        <v>1</v>
      </c>
      <c r="J50" s="1149">
        <f t="shared" si="0"/>
        <v>1</v>
      </c>
      <c r="K50" s="1150">
        <f t="shared" si="1"/>
        <v>1</v>
      </c>
      <c r="M50" s="1145">
        <f t="shared" si="3"/>
        <v>0.4100000000000002</v>
      </c>
      <c r="N50" s="1130">
        <f t="shared" si="6"/>
        <v>0.36372330804167707</v>
      </c>
      <c r="P50" s="977">
        <v>2034</v>
      </c>
      <c r="Q50" s="965">
        <f t="shared" si="5"/>
        <v>88827.333333333954</v>
      </c>
      <c r="R50" s="385"/>
      <c r="S50" s="385"/>
      <c r="T50" s="385"/>
      <c r="U50" s="965">
        <v>20480.889999999996</v>
      </c>
      <c r="V50" s="385"/>
      <c r="W50" s="385"/>
      <c r="X50" s="385"/>
      <c r="Y50" s="969">
        <f t="shared" si="4"/>
        <v>156065</v>
      </c>
      <c r="Z50" s="343">
        <f>-1976.3*Table1[[#This Row],[Year]]+4130497.79</f>
        <v>110703.59000000032</v>
      </c>
      <c r="AC50" s="343">
        <v>2034</v>
      </c>
      <c r="AD50" s="1144">
        <f>Table1[[#This Row],[Electricity]]/Table1[[#This Row],[Gasoline]]</f>
        <v>0.56916882922714229</v>
      </c>
      <c r="AE50" s="1144">
        <f>Table1[[#This Row],[Hydrogen]]/Table1[[#This Row],[Gasoline]]</f>
        <v>0.13123307596193892</v>
      </c>
    </row>
    <row r="51" spans="2:31" x14ac:dyDescent="0.2">
      <c r="B51" s="1004">
        <v>2049</v>
      </c>
      <c r="C51" s="1009">
        <v>1</v>
      </c>
      <c r="D51" s="1001">
        <v>1</v>
      </c>
      <c r="E51" s="1001">
        <v>1</v>
      </c>
      <c r="F51" s="1001">
        <v>1</v>
      </c>
      <c r="G51" s="1001">
        <v>1</v>
      </c>
      <c r="H51" s="1001">
        <v>1</v>
      </c>
      <c r="I51" s="1001">
        <v>1</v>
      </c>
      <c r="J51" s="1149">
        <f t="shared" si="0"/>
        <v>1</v>
      </c>
      <c r="K51" s="1150">
        <f t="shared" si="1"/>
        <v>1</v>
      </c>
      <c r="M51" s="1145">
        <f t="shared" si="3"/>
        <v>0.42000000000000021</v>
      </c>
      <c r="N51" s="1130">
        <f t="shared" si="6"/>
        <v>0.39217687976031146</v>
      </c>
      <c r="P51" s="977">
        <v>2035</v>
      </c>
      <c r="Q51" s="965">
        <f t="shared" si="5"/>
        <v>92581.06666666735</v>
      </c>
      <c r="R51" s="385"/>
      <c r="S51" s="385"/>
      <c r="T51" s="385"/>
      <c r="U51" s="965">
        <v>22921.889999999996</v>
      </c>
      <c r="V51" s="385"/>
      <c r="W51" s="385"/>
      <c r="X51" s="385"/>
      <c r="Y51" s="969">
        <f t="shared" si="4"/>
        <v>156065</v>
      </c>
      <c r="Z51" s="343">
        <f>-1976.3*Table1[[#This Row],[Year]]+4130497.79</f>
        <v>108727.29000000004</v>
      </c>
      <c r="AC51" s="343">
        <v>2035</v>
      </c>
      <c r="AD51" s="1144">
        <f>Table1[[#This Row],[Electricity]]/Table1[[#This Row],[Gasoline]]</f>
        <v>0.59322120056814376</v>
      </c>
      <c r="AE51" s="1144">
        <f>Table1[[#This Row],[Hydrogen]]/Table1[[#This Row],[Gasoline]]</f>
        <v>0.14687399480985483</v>
      </c>
    </row>
    <row r="52" spans="2:31" ht="13.5" thickBot="1" x14ac:dyDescent="0.25">
      <c r="B52" s="1005">
        <v>2050</v>
      </c>
      <c r="C52" s="1010">
        <v>1</v>
      </c>
      <c r="D52" s="1002">
        <v>1</v>
      </c>
      <c r="E52" s="1002">
        <v>1</v>
      </c>
      <c r="F52" s="1002">
        <v>1</v>
      </c>
      <c r="G52" s="1002">
        <v>1</v>
      </c>
      <c r="H52" s="1002">
        <v>1</v>
      </c>
      <c r="I52" s="1002">
        <v>1</v>
      </c>
      <c r="J52" s="1151">
        <f t="shared" si="0"/>
        <v>1</v>
      </c>
      <c r="K52" s="1152">
        <f t="shared" si="1"/>
        <v>1</v>
      </c>
      <c r="M52" s="1145">
        <f t="shared" si="3"/>
        <v>0.43000000000000022</v>
      </c>
      <c r="N52" s="1130">
        <f t="shared" si="6"/>
        <v>0.42132146335212817</v>
      </c>
      <c r="P52" s="977">
        <v>2036</v>
      </c>
      <c r="Q52" s="965">
        <f t="shared" si="5"/>
        <v>96334.800000000745</v>
      </c>
      <c r="R52" s="385"/>
      <c r="S52" s="385"/>
      <c r="T52" s="385"/>
      <c r="U52" s="965">
        <v>25534.889999999996</v>
      </c>
      <c r="V52" s="385"/>
      <c r="W52" s="385"/>
      <c r="X52" s="385"/>
      <c r="Y52" s="969">
        <f t="shared" si="4"/>
        <v>156065</v>
      </c>
      <c r="Z52" s="343">
        <f>-1976.3*Table1[[#This Row],[Year]]+4130497.79</f>
        <v>106750.99000000022</v>
      </c>
      <c r="AC52" s="343">
        <v>2036</v>
      </c>
      <c r="AD52" s="1144">
        <f>Table1[[#This Row],[Electricity]]/Table1[[#This Row],[Gasoline]]</f>
        <v>0.61727357190914522</v>
      </c>
      <c r="AE52" s="1144">
        <f>Table1[[#This Row],[Hydrogen]]/Table1[[#This Row],[Gasoline]]</f>
        <v>0.16361701854996313</v>
      </c>
    </row>
    <row r="53" spans="2:31" x14ac:dyDescent="0.2">
      <c r="M53" s="1145">
        <f t="shared" si="3"/>
        <v>0.44000000000000022</v>
      </c>
      <c r="N53" s="1130">
        <f t="shared" si="6"/>
        <v>0.45102114846019115</v>
      </c>
      <c r="P53" s="977">
        <v>2037</v>
      </c>
      <c r="Q53" s="965">
        <f t="shared" si="5"/>
        <v>100088.53333333414</v>
      </c>
      <c r="R53" s="385"/>
      <c r="S53" s="385"/>
      <c r="T53" s="385"/>
      <c r="U53" s="965">
        <v>28238.889999999996</v>
      </c>
      <c r="V53" s="385"/>
      <c r="W53" s="385"/>
      <c r="X53" s="385"/>
      <c r="Y53" s="969">
        <f t="shared" si="4"/>
        <v>156065</v>
      </c>
      <c r="Z53" s="343">
        <f>-1976.3*Table1[[#This Row],[Year]]+4130497.79</f>
        <v>104774.68999999994</v>
      </c>
      <c r="AC53" s="343">
        <v>2037</v>
      </c>
      <c r="AD53" s="1144">
        <f>Table1[[#This Row],[Electricity]]/Table1[[#This Row],[Gasoline]]</f>
        <v>0.64132594325014669</v>
      </c>
      <c r="AE53" s="1144">
        <f>Table1[[#This Row],[Hydrogen]]/Table1[[#This Row],[Gasoline]]</f>
        <v>0.18094313266908016</v>
      </c>
    </row>
    <row r="54" spans="2:31" x14ac:dyDescent="0.2">
      <c r="M54" s="1145">
        <f t="shared" si="3"/>
        <v>0.45000000000000023</v>
      </c>
      <c r="N54" s="1130">
        <f t="shared" si="6"/>
        <v>0.48112900953454829</v>
      </c>
      <c r="P54" s="977">
        <v>2038</v>
      </c>
      <c r="Q54" s="965">
        <f t="shared" si="5"/>
        <v>103842.26666666754</v>
      </c>
      <c r="R54" s="385"/>
      <c r="S54" s="385"/>
      <c r="T54" s="385"/>
      <c r="U54" s="965">
        <v>31005.889999999996</v>
      </c>
      <c r="V54" s="385"/>
      <c r="W54" s="385"/>
      <c r="X54" s="385"/>
      <c r="Y54" s="969">
        <f t="shared" si="4"/>
        <v>156065</v>
      </c>
      <c r="Z54" s="343">
        <f>-1976.3*Table1[[#This Row],[Year]]+4130497.79</f>
        <v>102798.39000000013</v>
      </c>
      <c r="AC54" s="343">
        <v>2038</v>
      </c>
      <c r="AD54" s="1144">
        <f>Table1[[#This Row],[Electricity]]/Table1[[#This Row],[Gasoline]]</f>
        <v>0.66537831459114816</v>
      </c>
      <c r="AE54" s="1144">
        <f>Table1[[#This Row],[Hydrogen]]/Table1[[#This Row],[Gasoline]]</f>
        <v>0.19867292474289555</v>
      </c>
    </row>
    <row r="55" spans="2:31" x14ac:dyDescent="0.2">
      <c r="M55" s="1145">
        <f t="shared" si="3"/>
        <v>0.46000000000000024</v>
      </c>
      <c r="N55" s="1130">
        <f t="shared" si="6"/>
        <v>0.51148883886909147</v>
      </c>
      <c r="P55" s="977">
        <v>2039</v>
      </c>
      <c r="Q55" s="965">
        <f t="shared" si="5"/>
        <v>107596.00000000093</v>
      </c>
      <c r="R55" s="385"/>
      <c r="S55" s="385"/>
      <c r="T55" s="385"/>
      <c r="U55" s="965">
        <v>33834.89</v>
      </c>
      <c r="V55" s="385"/>
      <c r="W55" s="385"/>
      <c r="X55" s="385"/>
      <c r="Y55" s="969">
        <f t="shared" si="4"/>
        <v>156065</v>
      </c>
      <c r="Z55" s="343">
        <f>-1976.3*Table1[[#This Row],[Year]]+4130497.79</f>
        <v>100822.09000000032</v>
      </c>
      <c r="AC55" s="343">
        <v>2039</v>
      </c>
      <c r="AD55" s="1144">
        <f>Table1[[#This Row],[Electricity]]/Table1[[#This Row],[Gasoline]]</f>
        <v>0.68943068593214962</v>
      </c>
      <c r="AE55" s="1144">
        <f>Table1[[#This Row],[Hydrogen]]/Table1[[#This Row],[Gasoline]]</f>
        <v>0.21679998718482682</v>
      </c>
    </row>
    <row r="56" spans="2:31" x14ac:dyDescent="0.2">
      <c r="D56" s="343" t="b">
        <v>1</v>
      </c>
      <c r="M56" s="1145">
        <f t="shared" si="3"/>
        <v>0.47000000000000025</v>
      </c>
      <c r="N56" s="1130">
        <f t="shared" si="6"/>
        <v>0.54193718792371426</v>
      </c>
      <c r="P56" s="977">
        <v>2040</v>
      </c>
      <c r="Q56" s="965">
        <f t="shared" si="5"/>
        <v>111349.73333333433</v>
      </c>
      <c r="R56" s="385"/>
      <c r="S56" s="385"/>
      <c r="T56" s="385"/>
      <c r="U56" s="965">
        <v>36523.89</v>
      </c>
      <c r="V56" s="385"/>
      <c r="W56" s="385"/>
      <c r="X56" s="385"/>
      <c r="Y56" s="969">
        <f t="shared" si="4"/>
        <v>156065</v>
      </c>
      <c r="Z56" s="343">
        <f>-1976.3*Table1[[#This Row],[Year]]+4130497.79</f>
        <v>98845.790000000037</v>
      </c>
      <c r="AC56" s="343">
        <v>2040</v>
      </c>
      <c r="AD56" s="1144">
        <f>Table1[[#This Row],[Electricity]]/Table1[[#This Row],[Gasoline]]</f>
        <v>0.71348305727315109</v>
      </c>
      <c r="AE56" s="1144">
        <f>Table1[[#This Row],[Hydrogen]]/Table1[[#This Row],[Gasoline]]</f>
        <v>0.23402998750520615</v>
      </c>
    </row>
    <row r="57" spans="2:31" x14ac:dyDescent="0.2">
      <c r="D57" s="343" t="b">
        <v>0</v>
      </c>
      <c r="M57" s="1145">
        <f t="shared" si="3"/>
        <v>0.48000000000000026</v>
      </c>
      <c r="N57" s="1130">
        <f t="shared" si="6"/>
        <v>0.57230568676862981</v>
      </c>
      <c r="P57" s="977">
        <v>2041</v>
      </c>
      <c r="Q57" s="965">
        <f t="shared" si="5"/>
        <v>115103.46666666679</v>
      </c>
      <c r="R57" s="968"/>
      <c r="S57" s="968"/>
      <c r="T57" s="968"/>
      <c r="U57" s="965">
        <v>39429.890000000007</v>
      </c>
      <c r="V57" s="968"/>
      <c r="W57" s="968"/>
      <c r="X57" s="968"/>
      <c r="Y57" s="969">
        <f t="shared" si="4"/>
        <v>156065</v>
      </c>
      <c r="Z57" s="343">
        <f>-1976.3*Table1[[#This Row],[Year]]+4130497.79</f>
        <v>96869.490000000224</v>
      </c>
      <c r="AC57" s="343">
        <v>2041</v>
      </c>
      <c r="AD57" s="1144">
        <f>Table1[[#This Row],[Electricity]]/Table1[[#This Row],[Gasoline]]</f>
        <v>0.73753542861414656</v>
      </c>
      <c r="AE57" s="1144">
        <f>Table1[[#This Row],[Hydrogen]]/Table1[[#This Row],[Gasoline]]</f>
        <v>0.25265043411399102</v>
      </c>
    </row>
    <row r="58" spans="2:31" x14ac:dyDescent="0.2">
      <c r="M58" s="1145">
        <f t="shared" si="3"/>
        <v>0.49000000000000027</v>
      </c>
      <c r="N58" s="1130">
        <f t="shared" si="6"/>
        <v>0.60242359916581223</v>
      </c>
      <c r="P58" s="977">
        <v>2042</v>
      </c>
      <c r="Q58" s="965">
        <f t="shared" si="5"/>
        <v>118857.20000000019</v>
      </c>
      <c r="R58" s="968"/>
      <c r="S58" s="968"/>
      <c r="T58" s="968"/>
      <c r="U58" s="965">
        <v>42341.890000000007</v>
      </c>
      <c r="V58" s="968"/>
      <c r="W58" s="968"/>
      <c r="X58" s="968"/>
      <c r="Y58" s="969">
        <f t="shared" si="4"/>
        <v>156065</v>
      </c>
      <c r="Z58" s="343">
        <f>-1976.3*Table1[[#This Row],[Year]]+4130497.79</f>
        <v>94893.189999999944</v>
      </c>
      <c r="AC58" s="343">
        <v>2042</v>
      </c>
      <c r="AD58" s="1144">
        <f>Table1[[#This Row],[Electricity]]/Table1[[#This Row],[Gasoline]]</f>
        <v>0.76158779995514814</v>
      </c>
      <c r="AE58" s="1144">
        <f>Table1[[#This Row],[Hydrogen]]/Table1[[#This Row],[Gasoline]]</f>
        <v>0.27130932624227089</v>
      </c>
    </row>
    <row r="59" spans="2:31" x14ac:dyDescent="0.2">
      <c r="M59" s="1145">
        <f t="shared" si="3"/>
        <v>0.50000000000000022</v>
      </c>
      <c r="N59" s="1130">
        <f t="shared" si="6"/>
        <v>0.63212055882855833</v>
      </c>
      <c r="P59" s="977">
        <v>2043</v>
      </c>
      <c r="Q59" s="965">
        <f t="shared" si="5"/>
        <v>122610.93333333358</v>
      </c>
      <c r="R59" s="968"/>
      <c r="S59" s="968"/>
      <c r="T59" s="968"/>
      <c r="U59" s="965">
        <v>45272.890000000007</v>
      </c>
      <c r="V59" s="968"/>
      <c r="W59" s="968"/>
      <c r="X59" s="968"/>
      <c r="Y59" s="969">
        <f t="shared" si="4"/>
        <v>156065</v>
      </c>
      <c r="Z59" s="343">
        <f>-1976.3*Table1[[#This Row],[Year]]+4130497.79</f>
        <v>92916.89000000013</v>
      </c>
      <c r="AC59" s="343">
        <v>2043</v>
      </c>
      <c r="AD59" s="1144">
        <f>Table1[[#This Row],[Electricity]]/Table1[[#This Row],[Gasoline]]</f>
        <v>0.7856401712961496</v>
      </c>
      <c r="AE59" s="1144">
        <f>Table1[[#This Row],[Hydrogen]]/Table1[[#This Row],[Gasoline]]</f>
        <v>0.29008996251561853</v>
      </c>
    </row>
    <row r="60" spans="2:31" x14ac:dyDescent="0.2">
      <c r="M60" s="1145">
        <f t="shared" si="3"/>
        <v>0.51000000000000023</v>
      </c>
      <c r="N60" s="1130">
        <f t="shared" ref="N60:N109" si="7">WEIBULL(M60,$N$4,$N$5,$N$6)</f>
        <v>0.66122942140045338</v>
      </c>
      <c r="P60" s="977">
        <v>2044</v>
      </c>
      <c r="Q60" s="965">
        <f t="shared" si="5"/>
        <v>126364.66666666698</v>
      </c>
      <c r="R60" s="968"/>
      <c r="S60" s="968"/>
      <c r="T60" s="968"/>
      <c r="U60" s="965">
        <v>48191.890000000007</v>
      </c>
      <c r="V60" s="968"/>
      <c r="W60" s="968"/>
      <c r="X60" s="968"/>
      <c r="Y60" s="969">
        <f t="shared" si="4"/>
        <v>156065</v>
      </c>
      <c r="Z60" s="343">
        <f>-1976.3*Table1[[#This Row],[Year]]+4130497.79</f>
        <v>90940.590000000317</v>
      </c>
      <c r="AC60" s="343">
        <v>2044</v>
      </c>
      <c r="AD60" s="1144">
        <f>Table1[[#This Row],[Electricity]]/Table1[[#This Row],[Gasoline]]</f>
        <v>0.80969254263715107</v>
      </c>
      <c r="AE60" s="1144">
        <f>Table1[[#This Row],[Hydrogen]]/Table1[[#This Row],[Gasoline]]</f>
        <v>0.308793707749976</v>
      </c>
    </row>
    <row r="61" spans="2:31" x14ac:dyDescent="0.2">
      <c r="M61" s="1145">
        <f t="shared" si="3"/>
        <v>0.52000000000000024</v>
      </c>
      <c r="N61" s="1130">
        <f t="shared" si="7"/>
        <v>0.68958915732970893</v>
      </c>
      <c r="P61" s="977">
        <v>2045</v>
      </c>
      <c r="Q61" s="965">
        <f t="shared" si="5"/>
        <v>130118.40000000037</v>
      </c>
      <c r="R61" s="968"/>
      <c r="S61" s="968"/>
      <c r="T61" s="968"/>
      <c r="U61" s="965">
        <v>51068.890000000007</v>
      </c>
      <c r="V61" s="968"/>
      <c r="W61" s="968"/>
      <c r="X61" s="968"/>
      <c r="Y61" s="969">
        <f t="shared" si="4"/>
        <v>156065</v>
      </c>
      <c r="Z61" s="343">
        <f>-1976.3*Table1[[#This Row],[Year]]+4130497.79</f>
        <v>88964.290000000037</v>
      </c>
      <c r="AC61" s="343">
        <v>2045</v>
      </c>
      <c r="AD61" s="1144">
        <f>Table1[[#This Row],[Electricity]]/Table1[[#This Row],[Gasoline]]</f>
        <v>0.83374491397815254</v>
      </c>
      <c r="AE61" s="1144">
        <f>Table1[[#This Row],[Hydrogen]]/Table1[[#This Row],[Gasoline]]</f>
        <v>0.32722833434786791</v>
      </c>
    </row>
    <row r="62" spans="2:31" x14ac:dyDescent="0.2">
      <c r="M62" s="1145">
        <f t="shared" si="3"/>
        <v>0.53000000000000025</v>
      </c>
      <c r="N62" s="1130">
        <f t="shared" si="7"/>
        <v>0.71704770374006288</v>
      </c>
      <c r="P62" s="977">
        <v>2046</v>
      </c>
      <c r="Q62" s="965">
        <f t="shared" si="5"/>
        <v>133872.13333333377</v>
      </c>
      <c r="R62" s="968"/>
      <c r="S62" s="968"/>
      <c r="T62" s="968"/>
      <c r="U62" s="965">
        <v>53824.890000000007</v>
      </c>
      <c r="V62" s="968"/>
      <c r="W62" s="968"/>
      <c r="X62" s="968"/>
      <c r="Y62" s="969">
        <f t="shared" si="4"/>
        <v>156065</v>
      </c>
      <c r="Z62" s="343">
        <f>-1976.3*Table1[[#This Row],[Year]]+4130497.79</f>
        <v>86987.990000000224</v>
      </c>
      <c r="AC62" s="343">
        <v>2046</v>
      </c>
      <c r="AD62" s="1144">
        <f>Table1[[#This Row],[Electricity]]/Table1[[#This Row],[Gasoline]]</f>
        <v>0.857797285319154</v>
      </c>
      <c r="AE62" s="1144">
        <f>Table1[[#This Row],[Hydrogen]]/Table1[[#This Row],[Gasoline]]</f>
        <v>0.34488764296927565</v>
      </c>
    </row>
    <row r="63" spans="2:31" x14ac:dyDescent="0.2">
      <c r="M63" s="1145">
        <f t="shared" si="3"/>
        <v>0.54000000000000026</v>
      </c>
      <c r="N63" s="1130">
        <f t="shared" si="7"/>
        <v>0.74346468922347331</v>
      </c>
      <c r="P63" s="977">
        <v>2047</v>
      </c>
      <c r="Q63" s="965">
        <f t="shared" si="5"/>
        <v>137625.86666666716</v>
      </c>
      <c r="R63" s="968"/>
      <c r="S63" s="968"/>
      <c r="T63" s="968"/>
      <c r="U63" s="965">
        <v>56484.890000000007</v>
      </c>
      <c r="V63" s="968"/>
      <c r="W63" s="968"/>
      <c r="X63" s="968"/>
      <c r="Y63" s="969">
        <f t="shared" si="4"/>
        <v>156065</v>
      </c>
      <c r="Z63" s="343">
        <f>-1976.3*Table1[[#This Row],[Year]]+4130497.79</f>
        <v>85011.689999999944</v>
      </c>
      <c r="AC63" s="343">
        <v>2047</v>
      </c>
      <c r="AD63" s="1144">
        <f>Table1[[#This Row],[Electricity]]/Table1[[#This Row],[Gasoline]]</f>
        <v>0.88184965666015547</v>
      </c>
      <c r="AE63" s="1144">
        <f>Table1[[#This Row],[Hydrogen]]/Table1[[#This Row],[Gasoline]]</f>
        <v>0.36193182327876211</v>
      </c>
    </row>
    <row r="64" spans="2:31" x14ac:dyDescent="0.2">
      <c r="M64" s="1145">
        <f t="shared" si="3"/>
        <v>0.55000000000000027</v>
      </c>
      <c r="N64" s="1130">
        <f t="shared" si="7"/>
        <v>0.768713944715672</v>
      </c>
      <c r="P64" s="977">
        <v>2048</v>
      </c>
      <c r="Q64" s="965">
        <f t="shared" si="5"/>
        <v>141379.60000000056</v>
      </c>
      <c r="R64" s="968"/>
      <c r="S64" s="968"/>
      <c r="T64" s="968"/>
      <c r="U64" s="965">
        <v>59039.890000000007</v>
      </c>
      <c r="V64" s="968"/>
      <c r="W64" s="968"/>
      <c r="X64" s="968"/>
      <c r="Y64" s="969">
        <f t="shared" si="4"/>
        <v>156065</v>
      </c>
      <c r="Z64" s="343">
        <f>-1976.3*Table1[[#This Row],[Year]]+4130497.79</f>
        <v>83035.39000000013</v>
      </c>
      <c r="AC64" s="343">
        <v>2048</v>
      </c>
      <c r="AD64" s="1144">
        <f>Table1[[#This Row],[Electricity]]/Table1[[#This Row],[Gasoline]]</f>
        <v>0.90590202800115693</v>
      </c>
      <c r="AE64" s="1144">
        <f>Table1[[#This Row],[Hydrogen]]/Table1[[#This Row],[Gasoline]]</f>
        <v>0.37830320699708458</v>
      </c>
    </row>
    <row r="65" spans="13:31" x14ac:dyDescent="0.2">
      <c r="M65" s="1145">
        <f t="shared" si="3"/>
        <v>0.56000000000000028</v>
      </c>
      <c r="N65" s="1130">
        <f t="shared" si="7"/>
        <v>0.79268571663322196</v>
      </c>
      <c r="P65" s="977">
        <v>2049</v>
      </c>
      <c r="Q65" s="965">
        <f t="shared" si="5"/>
        <v>145133.33333333395</v>
      </c>
      <c r="R65" s="968"/>
      <c r="S65" s="968"/>
      <c r="T65" s="968"/>
      <c r="U65" s="965">
        <v>61442.890000000007</v>
      </c>
      <c r="V65" s="968"/>
      <c r="W65" s="968"/>
      <c r="X65" s="968"/>
      <c r="Y65" s="969">
        <f t="shared" si="4"/>
        <v>156065</v>
      </c>
      <c r="Z65" s="343">
        <f>-1976.3*Table1[[#This Row],[Year]]+4130497.79</f>
        <v>81059.090000000317</v>
      </c>
      <c r="AC65" s="343">
        <v>2049</v>
      </c>
      <c r="AD65" s="1144">
        <f>Table1[[#This Row],[Electricity]]/Table1[[#This Row],[Gasoline]]</f>
        <v>0.9299543993421584</v>
      </c>
      <c r="AE65" s="1144">
        <f>Table1[[#This Row],[Hydrogen]]/Table1[[#This Row],[Gasoline]]</f>
        <v>0.39370063755486501</v>
      </c>
    </row>
    <row r="66" spans="13:31" x14ac:dyDescent="0.2">
      <c r="M66" s="1145">
        <f t="shared" si="3"/>
        <v>0.57000000000000028</v>
      </c>
      <c r="N66" s="1130">
        <f t="shared" si="7"/>
        <v>0.81528850543313935</v>
      </c>
      <c r="P66" s="977">
        <v>2050</v>
      </c>
      <c r="Q66" s="965">
        <f t="shared" si="5"/>
        <v>148887.06666666735</v>
      </c>
      <c r="R66" s="968"/>
      <c r="S66" s="968"/>
      <c r="T66" s="968"/>
      <c r="U66" s="965">
        <v>63797.890000000007</v>
      </c>
      <c r="V66" s="968"/>
      <c r="W66" s="968"/>
      <c r="X66" s="968"/>
      <c r="Y66" s="969">
        <f t="shared" si="4"/>
        <v>156065</v>
      </c>
      <c r="Z66" s="343">
        <f>-1976.3*Table1[[#This Row],[Year]]+4130497.79</f>
        <v>79082.790000000037</v>
      </c>
      <c r="AC66" s="343">
        <v>2050</v>
      </c>
      <c r="AD66" s="1144">
        <f>Table1[[#This Row],[Electricity]]/Table1[[#This Row],[Gasoline]]</f>
        <v>0.95400677068315987</v>
      </c>
      <c r="AE66" s="1144">
        <f>Table1[[#This Row],[Hydrogen]]/Table1[[#This Row],[Gasoline]]</f>
        <v>0.40879050395668476</v>
      </c>
    </row>
    <row r="67" spans="13:31" x14ac:dyDescent="0.2">
      <c r="M67" s="1145">
        <f t="shared" si="3"/>
        <v>0.58000000000000029</v>
      </c>
      <c r="N67" s="1130">
        <f t="shared" si="7"/>
        <v>0.83645046366396225</v>
      </c>
      <c r="P67" s="978"/>
      <c r="Q67"/>
      <c r="R67"/>
      <c r="S67"/>
      <c r="T67"/>
      <c r="U67"/>
      <c r="V67"/>
      <c r="W67"/>
      <c r="X67"/>
    </row>
    <row r="68" spans="13:31" x14ac:dyDescent="0.2">
      <c r="M68" s="1145">
        <f t="shared" si="3"/>
        <v>0.5900000000000003</v>
      </c>
      <c r="N68" s="1130">
        <f t="shared" si="7"/>
        <v>0.85612030212542312</v>
      </c>
      <c r="P68" s="978"/>
      <c r="Q68"/>
      <c r="R68"/>
      <c r="S68"/>
      <c r="T68"/>
      <c r="U68"/>
      <c r="V68"/>
      <c r="W68"/>
      <c r="X68"/>
    </row>
    <row r="69" spans="13:31" x14ac:dyDescent="0.2">
      <c r="M69" s="1145">
        <f t="shared" si="3"/>
        <v>0.60000000000000031</v>
      </c>
      <c r="N69" s="1130">
        <f t="shared" si="7"/>
        <v>0.87426767040557263</v>
      </c>
      <c r="P69" s="978"/>
      <c r="Q69"/>
      <c r="R69"/>
      <c r="S69"/>
      <c r="T69"/>
      <c r="U69"/>
      <c r="V69"/>
      <c r="W69"/>
      <c r="X69"/>
    </row>
    <row r="70" spans="13:31" x14ac:dyDescent="0.2">
      <c r="M70" s="1145">
        <f t="shared" si="3"/>
        <v>0.61000000000000032</v>
      </c>
      <c r="N70" s="1130">
        <f t="shared" si="7"/>
        <v>0.89088299804314675</v>
      </c>
      <c r="P70"/>
      <c r="Q70"/>
      <c r="R70"/>
      <c r="S70"/>
      <c r="T70"/>
      <c r="U70"/>
      <c r="V70"/>
      <c r="W70"/>
      <c r="X70"/>
      <c r="Y70"/>
      <c r="Z70"/>
    </row>
    <row r="71" spans="13:31" x14ac:dyDescent="0.2">
      <c r="M71" s="1145">
        <f t="shared" si="3"/>
        <v>0.62000000000000033</v>
      </c>
      <c r="N71" s="1130">
        <f t="shared" si="7"/>
        <v>0.90597680388751134</v>
      </c>
      <c r="P71"/>
      <c r="Q71" t="s">
        <v>327</v>
      </c>
      <c r="R71"/>
      <c r="S71"/>
      <c r="T71"/>
      <c r="U71"/>
      <c r="V71"/>
      <c r="W71"/>
      <c r="X71"/>
      <c r="Y71"/>
      <c r="Z71"/>
    </row>
    <row r="72" spans="13:31" ht="13.5" thickBot="1" x14ac:dyDescent="0.25">
      <c r="M72" s="1145">
        <f t="shared" si="3"/>
        <v>0.63000000000000034</v>
      </c>
      <c r="N72" s="1130">
        <f t="shared" si="7"/>
        <v>0.91957850276566688</v>
      </c>
      <c r="P72"/>
      <c r="Q72"/>
      <c r="R72"/>
      <c r="S72"/>
      <c r="T72"/>
      <c r="U72"/>
      <c r="V72"/>
      <c r="W72"/>
      <c r="X72"/>
      <c r="Y72"/>
      <c r="Z72"/>
    </row>
    <row r="73" spans="13:31" x14ac:dyDescent="0.2">
      <c r="M73" s="1145">
        <f t="shared" si="3"/>
        <v>0.64000000000000035</v>
      </c>
      <c r="N73" s="1130">
        <f t="shared" si="7"/>
        <v>0.93173475910294257</v>
      </c>
      <c r="P73"/>
      <c r="Q73" s="1125" t="s">
        <v>328</v>
      </c>
      <c r="R73" s="1125"/>
      <c r="S73"/>
      <c r="T73"/>
      <c r="U73"/>
      <c r="V73"/>
      <c r="W73"/>
      <c r="X73"/>
      <c r="Y73"/>
      <c r="Z73"/>
    </row>
    <row r="74" spans="13:31" x14ac:dyDescent="0.2">
      <c r="M74" s="1145">
        <f t="shared" si="3"/>
        <v>0.65000000000000036</v>
      </c>
      <c r="N74" s="1130">
        <f t="shared" si="7"/>
        <v>0.94250745547383585</v>
      </c>
      <c r="P74"/>
      <c r="Q74" s="1124" t="s">
        <v>329</v>
      </c>
      <c r="R74" s="1124">
        <v>0.99449967320782939</v>
      </c>
      <c r="S74"/>
      <c r="T74"/>
      <c r="U74"/>
      <c r="V74"/>
      <c r="W74"/>
      <c r="X74"/>
      <c r="Y74"/>
      <c r="Z74"/>
    </row>
    <row r="75" spans="13:31" x14ac:dyDescent="0.2">
      <c r="M75" s="1145">
        <f t="shared" si="3"/>
        <v>0.66000000000000036</v>
      </c>
      <c r="N75" s="1130">
        <f t="shared" si="7"/>
        <v>0.95197135907101305</v>
      </c>
      <c r="P75"/>
      <c r="Q75" s="1124" t="s">
        <v>330</v>
      </c>
      <c r="R75" s="1124">
        <v>0.98902960001047946</v>
      </c>
      <c r="S75"/>
      <c r="T75"/>
      <c r="U75"/>
      <c r="V75"/>
      <c r="W75"/>
      <c r="X75"/>
      <c r="Y75"/>
      <c r="Z75"/>
    </row>
    <row r="76" spans="13:31" x14ac:dyDescent="0.2">
      <c r="M76" s="1145">
        <f t="shared" ref="M76:M109" si="8">M75+0.01</f>
        <v>0.67000000000000037</v>
      </c>
      <c r="N76" s="1130">
        <f t="shared" si="7"/>
        <v>0.96021157984875782</v>
      </c>
      <c r="P76"/>
      <c r="Q76" s="1124" t="s">
        <v>331</v>
      </c>
      <c r="R76" s="1124">
        <v>0.98720120001222611</v>
      </c>
      <c r="S76"/>
      <c r="T76"/>
      <c r="U76"/>
      <c r="V76"/>
      <c r="W76"/>
      <c r="X76"/>
      <c r="Y76"/>
      <c r="Z76"/>
    </row>
    <row r="77" spans="13:31" x14ac:dyDescent="0.2">
      <c r="M77" s="1145">
        <f t="shared" si="8"/>
        <v>0.68000000000000038</v>
      </c>
      <c r="N77" s="1130">
        <f t="shared" si="7"/>
        <v>0.96732091996204717</v>
      </c>
      <c r="P77"/>
      <c r="Q77" s="1124" t="s">
        <v>332</v>
      </c>
      <c r="R77" s="1124">
        <v>1099.8062500724445</v>
      </c>
      <c r="S77"/>
      <c r="T77"/>
      <c r="U77"/>
      <c r="V77"/>
      <c r="W77"/>
      <c r="X77"/>
      <c r="Y77"/>
      <c r="Z77"/>
    </row>
    <row r="78" spans="13:31" ht="13.5" thickBot="1" x14ac:dyDescent="0.25">
      <c r="M78" s="1145">
        <f t="shared" si="8"/>
        <v>0.69000000000000039</v>
      </c>
      <c r="N78" s="1130">
        <f t="shared" si="7"/>
        <v>0.97339721474921714</v>
      </c>
      <c r="P78"/>
      <c r="Q78" s="1122" t="s">
        <v>333</v>
      </c>
      <c r="R78" s="1122">
        <v>8</v>
      </c>
      <c r="S78"/>
      <c r="T78"/>
      <c r="U78"/>
      <c r="V78"/>
      <c r="W78"/>
      <c r="X78"/>
      <c r="Y78"/>
      <c r="Z78"/>
    </row>
    <row r="79" spans="13:31" x14ac:dyDescent="0.2">
      <c r="M79" s="1145">
        <f t="shared" si="8"/>
        <v>0.7000000000000004</v>
      </c>
      <c r="N79" s="1130">
        <f t="shared" si="7"/>
        <v>0.97854076091991982</v>
      </c>
      <c r="P79"/>
      <c r="Q79"/>
      <c r="R79"/>
      <c r="S79"/>
      <c r="T79"/>
      <c r="U79"/>
      <c r="V79"/>
      <c r="W79"/>
      <c r="X79"/>
      <c r="Y79"/>
      <c r="Z79"/>
    </row>
    <row r="80" spans="13:31" ht="13.5" thickBot="1" x14ac:dyDescent="0.25">
      <c r="M80" s="1145">
        <f t="shared" si="8"/>
        <v>0.71000000000000041</v>
      </c>
      <c r="N80" s="1130">
        <f t="shared" si="7"/>
        <v>0.9828519181996197</v>
      </c>
      <c r="P80"/>
      <c r="Q80" t="s">
        <v>334</v>
      </c>
      <c r="R80"/>
      <c r="S80"/>
      <c r="T80"/>
      <c r="U80"/>
      <c r="V80"/>
      <c r="W80"/>
      <c r="X80"/>
      <c r="Y80"/>
      <c r="Z80"/>
    </row>
    <row r="81" spans="13:26" x14ac:dyDescent="0.2">
      <c r="M81" s="1145">
        <f t="shared" si="8"/>
        <v>0.72000000000000042</v>
      </c>
      <c r="N81" s="1130">
        <f t="shared" si="7"/>
        <v>0.98642895717144563</v>
      </c>
      <c r="P81"/>
      <c r="Q81" s="1123"/>
      <c r="R81" s="1123" t="s">
        <v>338</v>
      </c>
      <c r="S81" s="1123" t="s">
        <v>339</v>
      </c>
      <c r="T81" s="1123" t="s">
        <v>340</v>
      </c>
      <c r="U81" s="1123" t="s">
        <v>341</v>
      </c>
      <c r="V81" s="1123" t="s">
        <v>342</v>
      </c>
      <c r="W81"/>
      <c r="X81"/>
      <c r="Y81"/>
      <c r="Z81"/>
    </row>
    <row r="82" spans="13:26" x14ac:dyDescent="0.2">
      <c r="M82" s="1145">
        <f t="shared" si="8"/>
        <v>0.73000000000000043</v>
      </c>
      <c r="N82" s="1130">
        <f t="shared" si="7"/>
        <v>0.98936620944626497</v>
      </c>
      <c r="P82"/>
      <c r="Q82" s="1124" t="s">
        <v>335</v>
      </c>
      <c r="R82" s="1124">
        <v>1</v>
      </c>
      <c r="S82" s="1124">
        <v>654290243.14880955</v>
      </c>
      <c r="T82" s="1124">
        <v>654290243.14880955</v>
      </c>
      <c r="U82" s="1124">
        <v>540.92627486066692</v>
      </c>
      <c r="V82" s="1124">
        <v>4.1429738325697967E-7</v>
      </c>
      <c r="W82"/>
      <c r="X82"/>
      <c r="Y82"/>
      <c r="Z82"/>
    </row>
    <row r="83" spans="13:26" x14ac:dyDescent="0.2">
      <c r="M83" s="1145">
        <f t="shared" si="8"/>
        <v>0.74000000000000044</v>
      </c>
      <c r="N83" s="1130">
        <f t="shared" si="7"/>
        <v>0.99175255777467719</v>
      </c>
      <c r="P83"/>
      <c r="Q83" s="1124" t="s">
        <v>336</v>
      </c>
      <c r="R83" s="1124">
        <v>6</v>
      </c>
      <c r="S83" s="1124">
        <v>7257442.7261904757</v>
      </c>
      <c r="T83" s="1124">
        <v>1209573.7876984125</v>
      </c>
      <c r="U83" s="1124"/>
      <c r="V83" s="1124"/>
      <c r="W83"/>
      <c r="X83"/>
      <c r="Y83"/>
      <c r="Z83"/>
    </row>
    <row r="84" spans="13:26" ht="13.5" thickBot="1" x14ac:dyDescent="0.25">
      <c r="M84" s="1145">
        <f t="shared" si="8"/>
        <v>0.75000000000000044</v>
      </c>
      <c r="N84" s="1130">
        <f t="shared" si="7"/>
        <v>0.99367028457251438</v>
      </c>
      <c r="P84"/>
      <c r="Q84" s="1122" t="s">
        <v>18</v>
      </c>
      <c r="R84" s="1122">
        <v>7</v>
      </c>
      <c r="S84" s="1122">
        <v>661547685.875</v>
      </c>
      <c r="T84" s="1122"/>
      <c r="U84" s="1122"/>
      <c r="V84" s="1122"/>
      <c r="W84"/>
      <c r="X84"/>
      <c r="Y84"/>
      <c r="Z84"/>
    </row>
    <row r="85" spans="13:26" ht="13.5" thickBot="1" x14ac:dyDescent="0.25">
      <c r="M85" s="1145">
        <f t="shared" si="8"/>
        <v>0.76000000000000045</v>
      </c>
      <c r="N85" s="1130">
        <f t="shared" si="7"/>
        <v>0.9951942788280157</v>
      </c>
      <c r="P85"/>
      <c r="Q85"/>
      <c r="R85"/>
      <c r="S85"/>
      <c r="T85"/>
      <c r="U85"/>
      <c r="V85"/>
      <c r="W85"/>
      <c r="X85"/>
      <c r="Y85"/>
      <c r="Z85"/>
    </row>
    <row r="86" spans="13:26" x14ac:dyDescent="0.2">
      <c r="M86" s="1145">
        <f t="shared" si="8"/>
        <v>0.77000000000000046</v>
      </c>
      <c r="N86" s="1130">
        <f t="shared" si="7"/>
        <v>0.9963915846347442</v>
      </c>
      <c r="P86"/>
      <c r="Q86" s="1123"/>
      <c r="R86" s="1123" t="s">
        <v>343</v>
      </c>
      <c r="S86" s="1123" t="s">
        <v>332</v>
      </c>
      <c r="T86" s="1123" t="s">
        <v>344</v>
      </c>
      <c r="U86" s="1123" t="s">
        <v>345</v>
      </c>
      <c r="V86" s="1123" t="s">
        <v>346</v>
      </c>
      <c r="W86" s="1123" t="s">
        <v>347</v>
      </c>
      <c r="X86" s="1123" t="s">
        <v>348</v>
      </c>
      <c r="Y86" s="1123" t="s">
        <v>349</v>
      </c>
      <c r="Z86"/>
    </row>
    <row r="87" spans="13:26" x14ac:dyDescent="0.2">
      <c r="M87" s="1145">
        <f t="shared" si="8"/>
        <v>0.78000000000000047</v>
      </c>
      <c r="N87" s="1130">
        <f t="shared" si="7"/>
        <v>0.99732126057789017</v>
      </c>
      <c r="P87"/>
      <c r="Q87" s="1124" t="s">
        <v>337</v>
      </c>
      <c r="R87" s="1124">
        <v>-7935707.4642857136</v>
      </c>
      <c r="S87" s="1124">
        <v>341868.5034598693</v>
      </c>
      <c r="T87" s="1124">
        <v>-23.212748129683312</v>
      </c>
      <c r="U87" s="1124">
        <v>4.1910075053613936E-7</v>
      </c>
      <c r="V87" s="1124">
        <v>-8772229.5569348633</v>
      </c>
      <c r="W87" s="1124">
        <v>-7099185.3716365639</v>
      </c>
      <c r="X87" s="1124">
        <v>-8772229.5569348633</v>
      </c>
      <c r="Y87" s="1124">
        <v>-7099185.3716365639</v>
      </c>
      <c r="Z87"/>
    </row>
    <row r="88" spans="13:26" ht="13.5" thickBot="1" x14ac:dyDescent="0.25">
      <c r="M88" s="1145">
        <f t="shared" si="8"/>
        <v>0.79000000000000048</v>
      </c>
      <c r="N88" s="1130">
        <f t="shared" si="7"/>
        <v>0.99803450854380882</v>
      </c>
      <c r="P88"/>
      <c r="Q88" s="1122" t="s">
        <v>350</v>
      </c>
      <c r="R88" s="1122">
        <v>3946.9404761904757</v>
      </c>
      <c r="S88" s="1122">
        <v>169.70378869542441</v>
      </c>
      <c r="T88" s="1122">
        <v>23.257821799572433</v>
      </c>
      <c r="U88" s="1122">
        <v>4.1429738325698041E-7</v>
      </c>
      <c r="V88" s="1122">
        <v>3531.6902644474399</v>
      </c>
      <c r="W88" s="1122">
        <v>4362.1906879335111</v>
      </c>
      <c r="X88" s="1122">
        <v>3531.6902644474399</v>
      </c>
      <c r="Y88" s="1122">
        <v>4362.1906879335111</v>
      </c>
      <c r="Z88"/>
    </row>
    <row r="89" spans="13:26" x14ac:dyDescent="0.2">
      <c r="M89" s="1145">
        <f t="shared" si="8"/>
        <v>0.80000000000000049</v>
      </c>
      <c r="N89" s="1130">
        <f t="shared" si="7"/>
        <v>0.99857502356180761</v>
      </c>
      <c r="P89"/>
      <c r="Q89"/>
      <c r="R89"/>
      <c r="S89"/>
      <c r="T89"/>
      <c r="U89"/>
      <c r="V89"/>
      <c r="W89"/>
      <c r="X89"/>
      <c r="Y89"/>
      <c r="Z89"/>
    </row>
    <row r="90" spans="13:26" x14ac:dyDescent="0.2">
      <c r="M90" s="1145">
        <f t="shared" si="8"/>
        <v>0.8100000000000005</v>
      </c>
      <c r="N90" s="1130">
        <f t="shared" si="7"/>
        <v>0.99897951304628008</v>
      </c>
      <c r="Q90"/>
      <c r="R90"/>
      <c r="S90"/>
      <c r="T90"/>
      <c r="U90"/>
      <c r="V90"/>
      <c r="W90"/>
      <c r="X90"/>
      <c r="Y90"/>
    </row>
    <row r="91" spans="13:26" x14ac:dyDescent="0.2">
      <c r="M91" s="1145">
        <f t="shared" si="8"/>
        <v>0.82000000000000051</v>
      </c>
      <c r="N91" s="1130">
        <f t="shared" si="7"/>
        <v>0.99927833402166177</v>
      </c>
      <c r="Q91"/>
      <c r="R91"/>
      <c r="S91"/>
      <c r="T91"/>
      <c r="U91"/>
      <c r="V91"/>
      <c r="W91"/>
      <c r="X91"/>
      <c r="Y91"/>
    </row>
    <row r="92" spans="13:26" x14ac:dyDescent="0.2">
      <c r="M92" s="1145">
        <f t="shared" si="8"/>
        <v>0.83000000000000052</v>
      </c>
      <c r="N92" s="1130">
        <f t="shared" si="7"/>
        <v>0.99949620008360773</v>
      </c>
    </row>
    <row r="93" spans="13:26" x14ac:dyDescent="0.2">
      <c r="M93" s="1145">
        <f t="shared" si="8"/>
        <v>0.84000000000000052</v>
      </c>
      <c r="N93" s="1130">
        <f t="shared" si="7"/>
        <v>0.99965291531541611</v>
      </c>
      <c r="Q93" t="s">
        <v>327</v>
      </c>
      <c r="R93"/>
      <c r="S93"/>
      <c r="T93"/>
      <c r="U93"/>
      <c r="V93"/>
      <c r="W93"/>
      <c r="X93"/>
      <c r="Y93"/>
    </row>
    <row r="94" spans="13:26" ht="13.5" thickBot="1" x14ac:dyDescent="0.25">
      <c r="M94" s="1145">
        <f t="shared" si="8"/>
        <v>0.85000000000000053</v>
      </c>
      <c r="N94" s="1130">
        <f t="shared" si="7"/>
        <v>0.99976409939337041</v>
      </c>
      <c r="Q94"/>
      <c r="R94"/>
      <c r="S94"/>
      <c r="T94"/>
      <c r="U94"/>
      <c r="V94"/>
      <c r="W94"/>
      <c r="X94"/>
      <c r="Y94"/>
    </row>
    <row r="95" spans="13:26" x14ac:dyDescent="0.2">
      <c r="M95" s="1145">
        <f t="shared" si="8"/>
        <v>0.86000000000000054</v>
      </c>
      <c r="N95" s="1130">
        <f t="shared" si="7"/>
        <v>0.9998418759268497</v>
      </c>
      <c r="Q95" s="1125" t="s">
        <v>328</v>
      </c>
      <c r="R95" s="1125"/>
      <c r="S95"/>
      <c r="T95"/>
      <c r="U95"/>
      <c r="V95"/>
      <c r="W95"/>
      <c r="X95"/>
      <c r="Y95"/>
    </row>
    <row r="96" spans="13:26" x14ac:dyDescent="0.2">
      <c r="M96" s="1145">
        <f t="shared" si="8"/>
        <v>0.87000000000000055</v>
      </c>
      <c r="N96" s="1130">
        <f t="shared" si="7"/>
        <v>0.999895503999498</v>
      </c>
      <c r="Q96" s="1124" t="s">
        <v>329</v>
      </c>
      <c r="R96" s="1124">
        <v>0.99269784439834385</v>
      </c>
      <c r="S96"/>
      <c r="T96"/>
      <c r="U96"/>
      <c r="V96"/>
      <c r="W96"/>
      <c r="X96"/>
      <c r="Y96"/>
    </row>
    <row r="97" spans="13:25" x14ac:dyDescent="0.2">
      <c r="M97" s="1145">
        <f t="shared" si="8"/>
        <v>0.88000000000000056</v>
      </c>
      <c r="N97" s="1130">
        <f t="shared" si="7"/>
        <v>0.99993194033152688</v>
      </c>
      <c r="Q97" s="1124" t="s">
        <v>330</v>
      </c>
      <c r="R97" s="1124">
        <v>0.98544901027311849</v>
      </c>
      <c r="S97"/>
      <c r="T97"/>
      <c r="U97"/>
      <c r="V97"/>
      <c r="W97"/>
      <c r="X97"/>
      <c r="Y97"/>
    </row>
    <row r="98" spans="13:25" x14ac:dyDescent="0.2">
      <c r="M98" s="1145">
        <f t="shared" si="8"/>
        <v>0.89000000000000057</v>
      </c>
      <c r="N98" s="1130">
        <f t="shared" si="7"/>
        <v>0.99995632604198814</v>
      </c>
      <c r="Q98" s="1124" t="s">
        <v>331</v>
      </c>
      <c r="R98" s="1124">
        <v>0.9833702974549926</v>
      </c>
      <c r="S98"/>
      <c r="T98"/>
      <c r="U98"/>
      <c r="V98"/>
      <c r="W98"/>
      <c r="X98"/>
      <c r="Y98"/>
    </row>
    <row r="99" spans="13:25" x14ac:dyDescent="0.2">
      <c r="M99" s="1145">
        <f t="shared" si="8"/>
        <v>0.90000000000000058</v>
      </c>
      <c r="N99" s="1130">
        <f t="shared" si="7"/>
        <v>0.99997239738380339</v>
      </c>
      <c r="Q99" s="1124" t="s">
        <v>332</v>
      </c>
      <c r="R99" s="1124">
        <v>1335.4241024233945</v>
      </c>
      <c r="S99"/>
      <c r="T99"/>
      <c r="U99"/>
      <c r="V99"/>
      <c r="W99"/>
      <c r="X99"/>
      <c r="Y99"/>
    </row>
    <row r="100" spans="13:25" ht="13.5" thickBot="1" x14ac:dyDescent="0.25">
      <c r="M100" s="1145">
        <f t="shared" si="8"/>
        <v>0.91000000000000059</v>
      </c>
      <c r="N100" s="1130">
        <f t="shared" si="7"/>
        <v>0.99998282393580651</v>
      </c>
      <c r="Q100" s="1122" t="s">
        <v>333</v>
      </c>
      <c r="R100" s="1122">
        <v>9</v>
      </c>
      <c r="S100"/>
      <c r="T100"/>
      <c r="U100"/>
      <c r="V100"/>
      <c r="W100"/>
      <c r="X100"/>
      <c r="Y100"/>
    </row>
    <row r="101" spans="13:25" x14ac:dyDescent="0.2">
      <c r="M101" s="1145">
        <f t="shared" si="8"/>
        <v>0.9200000000000006</v>
      </c>
      <c r="N101" s="1130">
        <f t="shared" si="7"/>
        <v>0.99998948057868242</v>
      </c>
      <c r="Q101"/>
      <c r="R101"/>
      <c r="S101"/>
      <c r="T101"/>
      <c r="U101"/>
      <c r="V101"/>
      <c r="W101"/>
      <c r="X101"/>
      <c r="Y101"/>
    </row>
    <row r="102" spans="13:25" ht="13.5" thickBot="1" x14ac:dyDescent="0.25">
      <c r="M102" s="1145">
        <f t="shared" si="8"/>
        <v>0.9300000000000006</v>
      </c>
      <c r="N102" s="1130">
        <f t="shared" si="7"/>
        <v>0.9999936612702216</v>
      </c>
      <c r="Q102" t="s">
        <v>334</v>
      </c>
      <c r="R102"/>
      <c r="S102"/>
      <c r="T102"/>
      <c r="U102"/>
      <c r="V102"/>
      <c r="W102"/>
      <c r="X102"/>
      <c r="Y102"/>
    </row>
    <row r="103" spans="13:25" x14ac:dyDescent="0.2">
      <c r="M103" s="1145">
        <f t="shared" si="8"/>
        <v>0.94000000000000061</v>
      </c>
      <c r="N103" s="1130">
        <f t="shared" si="7"/>
        <v>0.99999624335152093</v>
      </c>
      <c r="Q103" s="1123"/>
      <c r="R103" s="1123" t="s">
        <v>338</v>
      </c>
      <c r="S103" s="1123" t="s">
        <v>339</v>
      </c>
      <c r="T103" s="1123" t="s">
        <v>340</v>
      </c>
      <c r="U103" s="1123" t="s">
        <v>341</v>
      </c>
      <c r="V103" s="1123" t="s">
        <v>342</v>
      </c>
      <c r="W103"/>
      <c r="X103"/>
      <c r="Y103"/>
    </row>
    <row r="104" spans="13:25" x14ac:dyDescent="0.2">
      <c r="M104" s="1145">
        <f t="shared" si="8"/>
        <v>0.95000000000000062</v>
      </c>
      <c r="N104" s="1130">
        <f t="shared" si="7"/>
        <v>0.99999781107499508</v>
      </c>
      <c r="Q104" s="1124" t="s">
        <v>335</v>
      </c>
      <c r="R104" s="1124">
        <v>1</v>
      </c>
      <c r="S104" s="1124">
        <v>845430836.26666653</v>
      </c>
      <c r="T104" s="1124">
        <v>845430836.26666653</v>
      </c>
      <c r="U104" s="1124">
        <v>474.06693299825616</v>
      </c>
      <c r="V104" s="1124">
        <v>1.0877487663116294E-7</v>
      </c>
      <c r="W104"/>
      <c r="X104"/>
      <c r="Y104"/>
    </row>
    <row r="105" spans="13:25" x14ac:dyDescent="0.2">
      <c r="M105" s="1145">
        <f t="shared" si="8"/>
        <v>0.96000000000000063</v>
      </c>
      <c r="N105" s="1130">
        <f t="shared" si="7"/>
        <v>0.99999874646745956</v>
      </c>
      <c r="Q105" s="1124" t="s">
        <v>336</v>
      </c>
      <c r="R105" s="1124">
        <v>7</v>
      </c>
      <c r="S105" s="1124">
        <v>12483502.733333301</v>
      </c>
      <c r="T105" s="1124">
        <v>1783357.5333333288</v>
      </c>
      <c r="U105" s="1124"/>
      <c r="V105" s="1124"/>
      <c r="W105"/>
      <c r="X105"/>
      <c r="Y105"/>
    </row>
    <row r="106" spans="13:25" ht="13.5" thickBot="1" x14ac:dyDescent="0.25">
      <c r="M106" s="1145">
        <f t="shared" si="8"/>
        <v>0.97000000000000064</v>
      </c>
      <c r="N106" s="1130">
        <f t="shared" si="7"/>
        <v>0.99999929472988103</v>
      </c>
      <c r="Q106" s="1122" t="s">
        <v>18</v>
      </c>
      <c r="R106" s="1122">
        <v>8</v>
      </c>
      <c r="S106" s="1122">
        <v>857914338.99999988</v>
      </c>
      <c r="T106" s="1122"/>
      <c r="U106" s="1122"/>
      <c r="V106" s="1122"/>
      <c r="W106"/>
      <c r="X106"/>
      <c r="Y106"/>
    </row>
    <row r="107" spans="13:25" ht="13.5" thickBot="1" x14ac:dyDescent="0.25">
      <c r="M107" s="1145">
        <f t="shared" si="8"/>
        <v>0.98000000000000065</v>
      </c>
      <c r="N107" s="1130">
        <f t="shared" si="7"/>
        <v>0.99999961030075424</v>
      </c>
      <c r="Q107"/>
      <c r="R107"/>
      <c r="S107"/>
      <c r="T107"/>
      <c r="U107"/>
      <c r="V107"/>
      <c r="W107"/>
      <c r="X107"/>
      <c r="Y107"/>
    </row>
    <row r="108" spans="13:25" x14ac:dyDescent="0.2">
      <c r="M108" s="1145">
        <f t="shared" si="8"/>
        <v>0.99000000000000066</v>
      </c>
      <c r="N108" s="1130">
        <f t="shared" si="7"/>
        <v>0.9999997886047346</v>
      </c>
      <c r="Q108" s="1123"/>
      <c r="R108" s="1123" t="s">
        <v>343</v>
      </c>
      <c r="S108" s="1123" t="s">
        <v>332</v>
      </c>
      <c r="T108" s="1123" t="s">
        <v>344</v>
      </c>
      <c r="U108" s="1123" t="s">
        <v>345</v>
      </c>
      <c r="V108" s="1123" t="s">
        <v>346</v>
      </c>
      <c r="W108" s="1123" t="s">
        <v>347</v>
      </c>
      <c r="X108" s="1123" t="s">
        <v>348</v>
      </c>
      <c r="Y108" s="1123" t="s">
        <v>349</v>
      </c>
    </row>
    <row r="109" spans="13:25" x14ac:dyDescent="0.2">
      <c r="M109" s="1145">
        <f t="shared" si="8"/>
        <v>1.0000000000000007</v>
      </c>
      <c r="N109" s="1130">
        <f t="shared" si="7"/>
        <v>0.99999988746482527</v>
      </c>
      <c r="Q109" s="1124" t="s">
        <v>337</v>
      </c>
      <c r="R109" s="1124">
        <v>-7546266.2666666638</v>
      </c>
      <c r="S109" s="1124">
        <v>347218.94107144978</v>
      </c>
      <c r="T109" s="1124">
        <v>-21.733452222912614</v>
      </c>
      <c r="U109" s="1124">
        <v>1.1015256825256942E-7</v>
      </c>
      <c r="V109" s="1124">
        <v>-8367308.5953365797</v>
      </c>
      <c r="W109" s="1124">
        <v>-6725223.9379967479</v>
      </c>
      <c r="X109" s="1124">
        <v>-8367308.5953365797</v>
      </c>
      <c r="Y109" s="1124">
        <v>-6725223.9379967479</v>
      </c>
    </row>
    <row r="110" spans="13:25" ht="13.5" thickBot="1" x14ac:dyDescent="0.25">
      <c r="Q110" s="1122" t="s">
        <v>350</v>
      </c>
      <c r="R110" s="1122">
        <v>3753.7333333333322</v>
      </c>
      <c r="S110" s="1122">
        <v>172.40251029365982</v>
      </c>
      <c r="T110" s="1122">
        <v>21.773078170030438</v>
      </c>
      <c r="U110" s="1122">
        <v>1.0877487663116294E-7</v>
      </c>
      <c r="V110" s="1122">
        <v>3346.0661764574693</v>
      </c>
      <c r="W110" s="1122">
        <v>4161.4004902091947</v>
      </c>
      <c r="X110" s="1122">
        <v>3346.0661764574693</v>
      </c>
      <c r="Y110" s="1122">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019" customFormat="1" ht="15.75" x14ac:dyDescent="0.25">
      <c r="A1" s="1051" t="s">
        <v>324</v>
      </c>
    </row>
    <row r="2" spans="1:19" s="1019" customFormat="1" ht="15" x14ac:dyDescent="0.25"/>
    <row r="3" spans="1:19" s="1019" customFormat="1" ht="15.75" thickBot="1" x14ac:dyDescent="0.3"/>
    <row r="4" spans="1:19" s="1019" customFormat="1" ht="15" x14ac:dyDescent="0.25">
      <c r="A4" s="1020"/>
      <c r="B4" s="1596" t="s">
        <v>249</v>
      </c>
      <c r="C4" s="1597"/>
      <c r="D4" s="1597"/>
      <c r="E4" s="1597"/>
      <c r="F4" s="1597"/>
      <c r="G4" s="1598"/>
      <c r="H4" s="1596" t="s">
        <v>250</v>
      </c>
      <c r="I4" s="1597"/>
      <c r="J4" s="1597"/>
      <c r="K4" s="1597"/>
      <c r="L4" s="1597"/>
      <c r="M4" s="1598"/>
      <c r="N4" s="1596" t="s">
        <v>154</v>
      </c>
      <c r="O4" s="1597"/>
      <c r="P4" s="1597"/>
      <c r="Q4" s="1597"/>
      <c r="R4" s="1597"/>
      <c r="S4" s="1598"/>
    </row>
    <row r="5" spans="1:19" s="1019" customFormat="1" ht="15" x14ac:dyDescent="0.25">
      <c r="A5" s="1021"/>
      <c r="B5" s="1599" t="s">
        <v>129</v>
      </c>
      <c r="C5" s="1600"/>
      <c r="D5" s="1600"/>
      <c r="E5" s="1600"/>
      <c r="F5" s="1600"/>
      <c r="G5" s="1601"/>
      <c r="H5" s="1599" t="s">
        <v>129</v>
      </c>
      <c r="I5" s="1600"/>
      <c r="J5" s="1600"/>
      <c r="K5" s="1600"/>
      <c r="L5" s="1600"/>
      <c r="M5" s="1601"/>
      <c r="N5" s="1599" t="s">
        <v>129</v>
      </c>
      <c r="O5" s="1600"/>
      <c r="P5" s="1600"/>
      <c r="Q5" s="1600"/>
      <c r="R5" s="1600"/>
      <c r="S5" s="1601"/>
    </row>
    <row r="6" spans="1:19" s="1019" customFormat="1" ht="15" x14ac:dyDescent="0.25">
      <c r="A6" s="1021"/>
      <c r="B6" s="1022" t="s">
        <v>69</v>
      </c>
      <c r="C6" s="1023" t="s">
        <v>65</v>
      </c>
      <c r="D6" s="1023" t="s">
        <v>66</v>
      </c>
      <c r="E6" s="1023" t="s">
        <v>67</v>
      </c>
      <c r="F6" s="1023" t="s">
        <v>205</v>
      </c>
      <c r="G6" s="1024" t="s">
        <v>206</v>
      </c>
      <c r="H6" s="1022" t="s">
        <v>69</v>
      </c>
      <c r="I6" s="1023" t="s">
        <v>65</v>
      </c>
      <c r="J6" s="1023" t="s">
        <v>66</v>
      </c>
      <c r="K6" s="1023" t="s">
        <v>67</v>
      </c>
      <c r="L6" s="1023" t="s">
        <v>205</v>
      </c>
      <c r="M6" s="1024" t="s">
        <v>206</v>
      </c>
      <c r="N6" s="1022" t="s">
        <v>69</v>
      </c>
      <c r="O6" s="1023" t="s">
        <v>65</v>
      </c>
      <c r="P6" s="1023" t="s">
        <v>66</v>
      </c>
      <c r="Q6" s="1023" t="s">
        <v>67</v>
      </c>
      <c r="R6" s="1023" t="s">
        <v>205</v>
      </c>
      <c r="S6" s="1024" t="s">
        <v>206</v>
      </c>
    </row>
    <row r="7" spans="1:19" s="1019" customFormat="1" ht="45" x14ac:dyDescent="0.25">
      <c r="A7" s="1025"/>
      <c r="B7" s="1026" t="str">
        <f t="shared" ref="B7:G7" si="0">INDEX(TECH_OPT_DESC_Cls1,MATCH(B6,TECH_OPT_ROWS_Cls1,0))</f>
        <v>Conventional Diesel ICE</v>
      </c>
      <c r="C7" s="1027" t="str">
        <f t="shared" si="0"/>
        <v>Adv Conv</v>
      </c>
      <c r="D7" s="1027" t="str">
        <f t="shared" si="0"/>
        <v>HEV</v>
      </c>
      <c r="E7" s="1027" t="str">
        <f t="shared" si="0"/>
        <v>BEV</v>
      </c>
      <c r="F7" s="1027" t="str">
        <f t="shared" si="0"/>
        <v>FCEV</v>
      </c>
      <c r="G7" s="1028" t="str">
        <f t="shared" si="0"/>
        <v>PHEV</v>
      </c>
      <c r="H7" s="1026" t="str">
        <f t="shared" ref="H7:M7" si="1">INDEX(TECH_OPT_DESC_Cls2,MATCH(H6,TECH_OPT_ROWS_Cls2,0))</f>
        <v>Conventional Diesel ICE</v>
      </c>
      <c r="I7" s="1027" t="str">
        <f t="shared" si="1"/>
        <v>Adv Conv</v>
      </c>
      <c r="J7" s="1027" t="str">
        <f t="shared" si="1"/>
        <v>HEV</v>
      </c>
      <c r="K7" s="1027" t="str">
        <f t="shared" si="1"/>
        <v>BEV</v>
      </c>
      <c r="L7" s="1027" t="str">
        <f t="shared" si="1"/>
        <v>FCEV</v>
      </c>
      <c r="M7" s="1028" t="str">
        <f t="shared" si="1"/>
        <v>PHEV</v>
      </c>
      <c r="N7" s="1026" t="str">
        <f t="shared" ref="N7:S7" si="2">INDEX(TECH_OPT_DESC_Cls3,MATCH(N6,TECH_OPT_ROWS_Cls3,0))</f>
        <v>Conventional Diesel ICE</v>
      </c>
      <c r="O7" s="1027" t="str">
        <f t="shared" si="2"/>
        <v>Adv Conv</v>
      </c>
      <c r="P7" s="1027" t="str">
        <f t="shared" si="2"/>
        <v>HEV</v>
      </c>
      <c r="Q7" s="1027" t="str">
        <f t="shared" si="2"/>
        <v>BEV</v>
      </c>
      <c r="R7" s="1027" t="str">
        <f t="shared" si="2"/>
        <v>FCEV</v>
      </c>
      <c r="S7" s="1028" t="str">
        <f t="shared" si="2"/>
        <v>PHEV</v>
      </c>
    </row>
    <row r="8" spans="1:19" s="1019" customFormat="1" ht="15.75" thickBot="1" x14ac:dyDescent="0.3">
      <c r="A8" s="1029" t="s">
        <v>3</v>
      </c>
      <c r="B8" s="1030" t="str">
        <f t="shared" ref="B8:G8" si="3">INDEX(TECH_OPT_FUEL1_Cls1,MATCH(B6,TECH_OPT_ROWS_Cls1,0))</f>
        <v>Diesel</v>
      </c>
      <c r="C8" s="1031" t="str">
        <f t="shared" si="3"/>
        <v>Diesel</v>
      </c>
      <c r="D8" s="1031" t="str">
        <f t="shared" si="3"/>
        <v>Diesel</v>
      </c>
      <c r="E8" s="1031" t="str">
        <f t="shared" si="3"/>
        <v>Electricity</v>
      </c>
      <c r="F8" s="1031" t="str">
        <f t="shared" si="3"/>
        <v>Hydrogen</v>
      </c>
      <c r="G8" s="1032" t="str">
        <f t="shared" si="3"/>
        <v>Diesel</v>
      </c>
      <c r="H8" s="1033" t="str">
        <f t="shared" ref="H8:M8" si="4">INDEX(TECH_OPT_FUEL1_Cls2,MATCH(H6,TECH_OPT_ROWS_Cls2,0))</f>
        <v>Diesel</v>
      </c>
      <c r="I8" s="1031" t="str">
        <f t="shared" si="4"/>
        <v>Diesel</v>
      </c>
      <c r="J8" s="1031" t="str">
        <f t="shared" si="4"/>
        <v>Diesel</v>
      </c>
      <c r="K8" s="1031" t="str">
        <f t="shared" si="4"/>
        <v>Electricity</v>
      </c>
      <c r="L8" s="1031" t="str">
        <f t="shared" si="4"/>
        <v>Hydrogen</v>
      </c>
      <c r="M8" s="1032" t="str">
        <f t="shared" si="4"/>
        <v>Diesel</v>
      </c>
      <c r="N8" s="1030" t="str">
        <f t="shared" ref="N8:S8" si="5">INDEX(TECH_OPT_FUEL1_Cls3,MATCH(N6,TECH_OPT_ROWS_Cls3,0))</f>
        <v>Diesel</v>
      </c>
      <c r="O8" s="1031" t="str">
        <f t="shared" si="5"/>
        <v>Diesel</v>
      </c>
      <c r="P8" s="1031" t="str">
        <f t="shared" si="5"/>
        <v>Diesel</v>
      </c>
      <c r="Q8" s="1031" t="str">
        <f t="shared" si="5"/>
        <v>Electricity</v>
      </c>
      <c r="R8" s="1031" t="str">
        <f t="shared" si="5"/>
        <v>Hydrogen</v>
      </c>
      <c r="S8" s="1032" t="str">
        <f t="shared" si="5"/>
        <v>Diesel</v>
      </c>
    </row>
    <row r="9" spans="1:19" s="1019" customFormat="1" ht="15.75" thickTop="1" x14ac:dyDescent="0.25">
      <c r="A9" s="1034">
        <v>2007</v>
      </c>
      <c r="B9" s="1105">
        <f t="shared" ref="B9:B52" si="6">INDEX(COST_Cls1,MATCH($A9,Years,0),MATCH(B$6,TECHOPTS_Cls1,0))</f>
        <v>151412</v>
      </c>
      <c r="C9" s="1106">
        <f t="shared" ref="C9:G18" si="7">$B9+INDEX(COST_Cls1,MATCH($A9,Years,0),MATCH(C$6,TECHOPTS_Cls1,0))</f>
        <v>1151412</v>
      </c>
      <c r="D9" s="1106">
        <f t="shared" si="7"/>
        <v>1151412</v>
      </c>
      <c r="E9" s="1106">
        <f t="shared" si="7"/>
        <v>1151412</v>
      </c>
      <c r="F9" s="1106">
        <f t="shared" si="7"/>
        <v>1151412</v>
      </c>
      <c r="G9" s="1106">
        <f t="shared" si="7"/>
        <v>1151412</v>
      </c>
      <c r="H9" s="1105">
        <f t="shared" ref="H9:H52" si="8">INDEX(COST_Cls2,MATCH($A9,Years,0),MATCH(H$6,TECHOPTS_Cls1,0))</f>
        <v>138005</v>
      </c>
      <c r="I9" s="1106">
        <f t="shared" ref="I9:M18" si="9">$B9+INDEX(COST_Cls2,MATCH($A9,Years,0),MATCH(I$6,TECHOPTS_Cls1,0))</f>
        <v>1151412</v>
      </c>
      <c r="J9" s="1106">
        <f t="shared" si="9"/>
        <v>1151412</v>
      </c>
      <c r="K9" s="1106">
        <f t="shared" si="9"/>
        <v>1151412</v>
      </c>
      <c r="L9" s="1106">
        <f t="shared" si="9"/>
        <v>1151412</v>
      </c>
      <c r="M9" s="1107">
        <f t="shared" si="9"/>
        <v>1151412</v>
      </c>
      <c r="N9" s="1105">
        <f t="shared" ref="N9:N52" si="10">INDEX(COST_Cls3,MATCH($A9,Years,0),MATCH(N$6,TECHOPTS_Cls1,0))</f>
        <v>81898</v>
      </c>
      <c r="O9" s="1106">
        <f t="shared" ref="O9:S18" si="11">$B9+INDEX(COST_Cls3,MATCH($A9,Years,0),MATCH(O$6,TECHOPTS_Cls1,0))</f>
        <v>1151412</v>
      </c>
      <c r="P9" s="1106">
        <f t="shared" si="11"/>
        <v>1151412</v>
      </c>
      <c r="Q9" s="1106">
        <f t="shared" si="11"/>
        <v>1151412</v>
      </c>
      <c r="R9" s="1106">
        <f t="shared" si="11"/>
        <v>1151412</v>
      </c>
      <c r="S9" s="1107">
        <f t="shared" si="11"/>
        <v>1151412</v>
      </c>
    </row>
    <row r="10" spans="1:19" s="1019" customFormat="1" ht="15" x14ac:dyDescent="0.25">
      <c r="A10" s="1034">
        <v>2008</v>
      </c>
      <c r="B10" s="1105">
        <f t="shared" si="6"/>
        <v>151412</v>
      </c>
      <c r="C10" s="1108">
        <f t="shared" si="7"/>
        <v>1151412</v>
      </c>
      <c r="D10" s="1108">
        <f t="shared" si="7"/>
        <v>1151412</v>
      </c>
      <c r="E10" s="1108">
        <f t="shared" si="7"/>
        <v>1151412</v>
      </c>
      <c r="F10" s="1108">
        <f t="shared" si="7"/>
        <v>1151412</v>
      </c>
      <c r="G10" s="1109">
        <f t="shared" si="7"/>
        <v>1151412</v>
      </c>
      <c r="H10" s="1105">
        <f t="shared" si="8"/>
        <v>138005</v>
      </c>
      <c r="I10" s="1108">
        <f t="shared" si="9"/>
        <v>1151412</v>
      </c>
      <c r="J10" s="1108">
        <f t="shared" si="9"/>
        <v>1151412</v>
      </c>
      <c r="K10" s="1108">
        <f t="shared" si="9"/>
        <v>1151412</v>
      </c>
      <c r="L10" s="1108">
        <f t="shared" si="9"/>
        <v>1151412</v>
      </c>
      <c r="M10" s="1109">
        <f t="shared" si="9"/>
        <v>1151412</v>
      </c>
      <c r="N10" s="1105">
        <f t="shared" si="10"/>
        <v>81898</v>
      </c>
      <c r="O10" s="1108">
        <f t="shared" si="11"/>
        <v>1151412</v>
      </c>
      <c r="P10" s="1108">
        <f t="shared" si="11"/>
        <v>1151412</v>
      </c>
      <c r="Q10" s="1108">
        <f t="shared" si="11"/>
        <v>1151412</v>
      </c>
      <c r="R10" s="1108">
        <f t="shared" si="11"/>
        <v>1151412</v>
      </c>
      <c r="S10" s="1109">
        <f t="shared" si="11"/>
        <v>1151412</v>
      </c>
    </row>
    <row r="11" spans="1:19" s="1019" customFormat="1" ht="15" x14ac:dyDescent="0.25">
      <c r="A11" s="1034">
        <v>2009</v>
      </c>
      <c r="B11" s="1105">
        <f t="shared" si="6"/>
        <v>151412</v>
      </c>
      <c r="C11" s="1108">
        <f t="shared" si="7"/>
        <v>1151412</v>
      </c>
      <c r="D11" s="1108">
        <f t="shared" si="7"/>
        <v>1151412</v>
      </c>
      <c r="E11" s="1108">
        <f t="shared" si="7"/>
        <v>1151412</v>
      </c>
      <c r="F11" s="1108">
        <f t="shared" si="7"/>
        <v>1151412</v>
      </c>
      <c r="G11" s="1109">
        <f t="shared" si="7"/>
        <v>1151412</v>
      </c>
      <c r="H11" s="1105">
        <f t="shared" si="8"/>
        <v>138005</v>
      </c>
      <c r="I11" s="1108">
        <f t="shared" si="9"/>
        <v>1151412</v>
      </c>
      <c r="J11" s="1108">
        <f t="shared" si="9"/>
        <v>1151412</v>
      </c>
      <c r="K11" s="1108">
        <f t="shared" si="9"/>
        <v>1151412</v>
      </c>
      <c r="L11" s="1108">
        <f t="shared" si="9"/>
        <v>1151412</v>
      </c>
      <c r="M11" s="1109">
        <f t="shared" si="9"/>
        <v>1151412</v>
      </c>
      <c r="N11" s="1105">
        <f t="shared" si="10"/>
        <v>81898</v>
      </c>
      <c r="O11" s="1108">
        <f t="shared" si="11"/>
        <v>1151412</v>
      </c>
      <c r="P11" s="1108">
        <f t="shared" si="11"/>
        <v>1151412</v>
      </c>
      <c r="Q11" s="1108">
        <f t="shared" si="11"/>
        <v>1151412</v>
      </c>
      <c r="R11" s="1108">
        <f t="shared" si="11"/>
        <v>1151412</v>
      </c>
      <c r="S11" s="1109">
        <f t="shared" si="11"/>
        <v>1151412</v>
      </c>
    </row>
    <row r="12" spans="1:19" s="1019" customFormat="1" ht="15" x14ac:dyDescent="0.25">
      <c r="A12" s="1040">
        <v>2010</v>
      </c>
      <c r="B12" s="1110">
        <f t="shared" si="6"/>
        <v>151412</v>
      </c>
      <c r="C12" s="1111">
        <f t="shared" si="7"/>
        <v>1151412</v>
      </c>
      <c r="D12" s="1111">
        <f t="shared" si="7"/>
        <v>1151412</v>
      </c>
      <c r="E12" s="1111">
        <f t="shared" si="7"/>
        <v>1151412</v>
      </c>
      <c r="F12" s="1111">
        <f t="shared" si="7"/>
        <v>1151412</v>
      </c>
      <c r="G12" s="1112">
        <f t="shared" si="7"/>
        <v>1151412</v>
      </c>
      <c r="H12" s="1110">
        <f t="shared" si="8"/>
        <v>138005</v>
      </c>
      <c r="I12" s="1111">
        <f t="shared" si="9"/>
        <v>1151412</v>
      </c>
      <c r="J12" s="1111">
        <f t="shared" si="9"/>
        <v>1151412</v>
      </c>
      <c r="K12" s="1111">
        <f t="shared" si="9"/>
        <v>1151412</v>
      </c>
      <c r="L12" s="1111">
        <f t="shared" si="9"/>
        <v>1151412</v>
      </c>
      <c r="M12" s="1112">
        <f t="shared" si="9"/>
        <v>1151412</v>
      </c>
      <c r="N12" s="1110">
        <f t="shared" si="10"/>
        <v>81898</v>
      </c>
      <c r="O12" s="1111">
        <f t="shared" si="11"/>
        <v>1151412</v>
      </c>
      <c r="P12" s="1111">
        <f t="shared" si="11"/>
        <v>1151412</v>
      </c>
      <c r="Q12" s="1111">
        <f t="shared" si="11"/>
        <v>1151412</v>
      </c>
      <c r="R12" s="1111">
        <f t="shared" si="11"/>
        <v>1151412</v>
      </c>
      <c r="S12" s="1112">
        <f t="shared" si="11"/>
        <v>1151412</v>
      </c>
    </row>
    <row r="13" spans="1:19" s="1019" customFormat="1" ht="15" x14ac:dyDescent="0.25">
      <c r="A13" s="1034">
        <v>2011</v>
      </c>
      <c r="B13" s="1113">
        <f t="shared" si="6"/>
        <v>151412</v>
      </c>
      <c r="C13" s="1114">
        <f t="shared" si="7"/>
        <v>1151412</v>
      </c>
      <c r="D13" s="1114">
        <f t="shared" si="7"/>
        <v>1151412</v>
      </c>
      <c r="E13" s="1114">
        <f t="shared" si="7"/>
        <v>1151412</v>
      </c>
      <c r="F13" s="1114">
        <f t="shared" si="7"/>
        <v>1151412</v>
      </c>
      <c r="G13" s="1115">
        <f t="shared" si="7"/>
        <v>1151412</v>
      </c>
      <c r="H13" s="1113">
        <f t="shared" si="8"/>
        <v>138005</v>
      </c>
      <c r="I13" s="1114">
        <f t="shared" si="9"/>
        <v>1151412</v>
      </c>
      <c r="J13" s="1114">
        <f t="shared" si="9"/>
        <v>1151412</v>
      </c>
      <c r="K13" s="1114">
        <f t="shared" si="9"/>
        <v>1151412</v>
      </c>
      <c r="L13" s="1114">
        <f t="shared" si="9"/>
        <v>1151412</v>
      </c>
      <c r="M13" s="1115">
        <f t="shared" si="9"/>
        <v>1151412</v>
      </c>
      <c r="N13" s="1113">
        <f t="shared" si="10"/>
        <v>81898</v>
      </c>
      <c r="O13" s="1114">
        <f t="shared" si="11"/>
        <v>1151412</v>
      </c>
      <c r="P13" s="1114">
        <f t="shared" si="11"/>
        <v>1151412</v>
      </c>
      <c r="Q13" s="1114">
        <f t="shared" si="11"/>
        <v>1151412</v>
      </c>
      <c r="R13" s="1114">
        <f t="shared" si="11"/>
        <v>1151412</v>
      </c>
      <c r="S13" s="1115">
        <f t="shared" si="11"/>
        <v>1151412</v>
      </c>
    </row>
    <row r="14" spans="1:19" s="1019" customFormat="1" ht="15" x14ac:dyDescent="0.25">
      <c r="A14" s="1034">
        <v>2012</v>
      </c>
      <c r="B14" s="1105">
        <f t="shared" si="6"/>
        <v>151412</v>
      </c>
      <c r="C14" s="1108">
        <f t="shared" si="7"/>
        <v>1151412</v>
      </c>
      <c r="D14" s="1108">
        <f t="shared" si="7"/>
        <v>1151412</v>
      </c>
      <c r="E14" s="1108">
        <f t="shared" si="7"/>
        <v>1151412</v>
      </c>
      <c r="F14" s="1108">
        <f t="shared" si="7"/>
        <v>1151412</v>
      </c>
      <c r="G14" s="1109">
        <f t="shared" si="7"/>
        <v>1151412</v>
      </c>
      <c r="H14" s="1105">
        <f t="shared" si="8"/>
        <v>138005</v>
      </c>
      <c r="I14" s="1108">
        <f t="shared" si="9"/>
        <v>1151412</v>
      </c>
      <c r="J14" s="1108">
        <f t="shared" si="9"/>
        <v>1151412</v>
      </c>
      <c r="K14" s="1108">
        <f t="shared" si="9"/>
        <v>1151412</v>
      </c>
      <c r="L14" s="1108">
        <f t="shared" si="9"/>
        <v>1151412</v>
      </c>
      <c r="M14" s="1109">
        <f t="shared" si="9"/>
        <v>1151412</v>
      </c>
      <c r="N14" s="1105">
        <f t="shared" si="10"/>
        <v>81898</v>
      </c>
      <c r="O14" s="1108">
        <f t="shared" si="11"/>
        <v>1151412</v>
      </c>
      <c r="P14" s="1108">
        <f t="shared" si="11"/>
        <v>1151412</v>
      </c>
      <c r="Q14" s="1108">
        <f t="shared" si="11"/>
        <v>1151412</v>
      </c>
      <c r="R14" s="1108">
        <f t="shared" si="11"/>
        <v>1151412</v>
      </c>
      <c r="S14" s="1109">
        <f t="shared" si="11"/>
        <v>1151412</v>
      </c>
    </row>
    <row r="15" spans="1:19" s="1019" customFormat="1" ht="15" x14ac:dyDescent="0.25">
      <c r="A15" s="1034">
        <v>2013</v>
      </c>
      <c r="B15" s="1105">
        <f t="shared" si="6"/>
        <v>151412</v>
      </c>
      <c r="C15" s="1108">
        <f t="shared" si="7"/>
        <v>1151412</v>
      </c>
      <c r="D15" s="1108">
        <f t="shared" si="7"/>
        <v>1151412</v>
      </c>
      <c r="E15" s="1108">
        <f t="shared" si="7"/>
        <v>1151412</v>
      </c>
      <c r="F15" s="1108">
        <f t="shared" si="7"/>
        <v>1151412</v>
      </c>
      <c r="G15" s="1109">
        <f t="shared" si="7"/>
        <v>1151412</v>
      </c>
      <c r="H15" s="1105">
        <f t="shared" si="8"/>
        <v>138005</v>
      </c>
      <c r="I15" s="1108">
        <f t="shared" si="9"/>
        <v>1151412</v>
      </c>
      <c r="J15" s="1108">
        <f t="shared" si="9"/>
        <v>1151412</v>
      </c>
      <c r="K15" s="1108">
        <f t="shared" si="9"/>
        <v>1151412</v>
      </c>
      <c r="L15" s="1108">
        <f t="shared" si="9"/>
        <v>1151412</v>
      </c>
      <c r="M15" s="1109">
        <f t="shared" si="9"/>
        <v>1151412</v>
      </c>
      <c r="N15" s="1105">
        <f t="shared" si="10"/>
        <v>81898</v>
      </c>
      <c r="O15" s="1108">
        <f t="shared" si="11"/>
        <v>1151412</v>
      </c>
      <c r="P15" s="1108">
        <f t="shared" si="11"/>
        <v>1151412</v>
      </c>
      <c r="Q15" s="1108">
        <f t="shared" si="11"/>
        <v>1151412</v>
      </c>
      <c r="R15" s="1108">
        <f t="shared" si="11"/>
        <v>1151412</v>
      </c>
      <c r="S15" s="1109">
        <f t="shared" si="11"/>
        <v>1151412</v>
      </c>
    </row>
    <row r="16" spans="1:19" s="1019" customFormat="1" ht="15" x14ac:dyDescent="0.25">
      <c r="A16" s="1034">
        <v>2014</v>
      </c>
      <c r="B16" s="1105">
        <f t="shared" si="6"/>
        <v>151412</v>
      </c>
      <c r="C16" s="1108">
        <f t="shared" si="7"/>
        <v>1151412</v>
      </c>
      <c r="D16" s="1108">
        <f t="shared" si="7"/>
        <v>1151412</v>
      </c>
      <c r="E16" s="1108">
        <f t="shared" si="7"/>
        <v>1151412</v>
      </c>
      <c r="F16" s="1108">
        <f t="shared" si="7"/>
        <v>1151412</v>
      </c>
      <c r="G16" s="1109">
        <f t="shared" si="7"/>
        <v>1151412</v>
      </c>
      <c r="H16" s="1105">
        <f t="shared" si="8"/>
        <v>138005</v>
      </c>
      <c r="I16" s="1108">
        <f t="shared" si="9"/>
        <v>1151412</v>
      </c>
      <c r="J16" s="1108">
        <f t="shared" si="9"/>
        <v>1151412</v>
      </c>
      <c r="K16" s="1108">
        <f t="shared" si="9"/>
        <v>1151412</v>
      </c>
      <c r="L16" s="1108">
        <f t="shared" si="9"/>
        <v>1151412</v>
      </c>
      <c r="M16" s="1109">
        <f t="shared" si="9"/>
        <v>1151412</v>
      </c>
      <c r="N16" s="1105">
        <f t="shared" si="10"/>
        <v>81898</v>
      </c>
      <c r="O16" s="1108">
        <f t="shared" si="11"/>
        <v>1151412</v>
      </c>
      <c r="P16" s="1108">
        <f t="shared" si="11"/>
        <v>1151412</v>
      </c>
      <c r="Q16" s="1108">
        <f t="shared" si="11"/>
        <v>1151412</v>
      </c>
      <c r="R16" s="1108">
        <f t="shared" si="11"/>
        <v>1151412</v>
      </c>
      <c r="S16" s="1109">
        <f t="shared" si="11"/>
        <v>1151412</v>
      </c>
    </row>
    <row r="17" spans="1:19" s="1019" customFormat="1" ht="15" x14ac:dyDescent="0.25">
      <c r="A17" s="1040">
        <v>2015</v>
      </c>
      <c r="B17" s="1110">
        <f t="shared" si="6"/>
        <v>151412</v>
      </c>
      <c r="C17" s="1111">
        <f t="shared" si="7"/>
        <v>1151412</v>
      </c>
      <c r="D17" s="1111">
        <f t="shared" si="7"/>
        <v>1151412</v>
      </c>
      <c r="E17" s="1111">
        <f t="shared" si="7"/>
        <v>1151412</v>
      </c>
      <c r="F17" s="1111">
        <f t="shared" si="7"/>
        <v>1151412</v>
      </c>
      <c r="G17" s="1112">
        <f t="shared" si="7"/>
        <v>1151412</v>
      </c>
      <c r="H17" s="1110">
        <f t="shared" si="8"/>
        <v>138005</v>
      </c>
      <c r="I17" s="1111">
        <f t="shared" si="9"/>
        <v>1151412</v>
      </c>
      <c r="J17" s="1111">
        <f t="shared" si="9"/>
        <v>1151412</v>
      </c>
      <c r="K17" s="1111">
        <f t="shared" si="9"/>
        <v>1151412</v>
      </c>
      <c r="L17" s="1111">
        <f t="shared" si="9"/>
        <v>1151412</v>
      </c>
      <c r="M17" s="1112">
        <f t="shared" si="9"/>
        <v>1151412</v>
      </c>
      <c r="N17" s="1110">
        <f t="shared" si="10"/>
        <v>81898</v>
      </c>
      <c r="O17" s="1111">
        <f t="shared" si="11"/>
        <v>1151412</v>
      </c>
      <c r="P17" s="1111">
        <f t="shared" si="11"/>
        <v>1151412</v>
      </c>
      <c r="Q17" s="1111">
        <f t="shared" si="11"/>
        <v>1151412</v>
      </c>
      <c r="R17" s="1111">
        <f t="shared" si="11"/>
        <v>1151412</v>
      </c>
      <c r="S17" s="1112">
        <f t="shared" si="11"/>
        <v>1151412</v>
      </c>
    </row>
    <row r="18" spans="1:19" s="1019" customFormat="1" ht="15" x14ac:dyDescent="0.25">
      <c r="A18" s="1034">
        <v>2016</v>
      </c>
      <c r="B18" s="1113">
        <f t="shared" si="6"/>
        <v>151412</v>
      </c>
      <c r="C18" s="1114">
        <f t="shared" si="7"/>
        <v>1151412</v>
      </c>
      <c r="D18" s="1114">
        <f t="shared" si="7"/>
        <v>1151412</v>
      </c>
      <c r="E18" s="1114">
        <f t="shared" si="7"/>
        <v>1151412</v>
      </c>
      <c r="F18" s="1114">
        <f t="shared" si="7"/>
        <v>1151412</v>
      </c>
      <c r="G18" s="1115">
        <f t="shared" si="7"/>
        <v>1151412</v>
      </c>
      <c r="H18" s="1113">
        <f t="shared" si="8"/>
        <v>138005</v>
      </c>
      <c r="I18" s="1114">
        <f t="shared" si="9"/>
        <v>1151412</v>
      </c>
      <c r="J18" s="1114">
        <f t="shared" si="9"/>
        <v>1151412</v>
      </c>
      <c r="K18" s="1114">
        <f t="shared" si="9"/>
        <v>1151412</v>
      </c>
      <c r="L18" s="1114">
        <f t="shared" si="9"/>
        <v>1151412</v>
      </c>
      <c r="M18" s="1115">
        <f t="shared" si="9"/>
        <v>1151412</v>
      </c>
      <c r="N18" s="1113">
        <f t="shared" si="10"/>
        <v>81898</v>
      </c>
      <c r="O18" s="1114">
        <f t="shared" si="11"/>
        <v>1151412</v>
      </c>
      <c r="P18" s="1114">
        <f t="shared" si="11"/>
        <v>1151412</v>
      </c>
      <c r="Q18" s="1114">
        <f t="shared" si="11"/>
        <v>1151412</v>
      </c>
      <c r="R18" s="1114">
        <f t="shared" si="11"/>
        <v>1151412</v>
      </c>
      <c r="S18" s="1115">
        <f t="shared" si="11"/>
        <v>1151412</v>
      </c>
    </row>
    <row r="19" spans="1:19" s="1019" customFormat="1" ht="15" x14ac:dyDescent="0.25">
      <c r="A19" s="1034">
        <v>2017</v>
      </c>
      <c r="B19" s="1105">
        <f t="shared" si="6"/>
        <v>151412</v>
      </c>
      <c r="C19" s="1108">
        <f t="shared" ref="C19:G28" si="12">$B19+INDEX(COST_Cls1,MATCH($A19,Years,0),MATCH(C$6,TECHOPTS_Cls1,0))</f>
        <v>1151412</v>
      </c>
      <c r="D19" s="1108">
        <f t="shared" si="12"/>
        <v>1151412</v>
      </c>
      <c r="E19" s="1108">
        <f t="shared" si="12"/>
        <v>1151412</v>
      </c>
      <c r="F19" s="1108">
        <f t="shared" si="12"/>
        <v>1151412</v>
      </c>
      <c r="G19" s="1109">
        <f t="shared" si="12"/>
        <v>1151412</v>
      </c>
      <c r="H19" s="1105">
        <f t="shared" si="8"/>
        <v>138005</v>
      </c>
      <c r="I19" s="1108">
        <f t="shared" ref="I19:M28" si="13">$B19+INDEX(COST_Cls2,MATCH($A19,Years,0),MATCH(I$6,TECHOPTS_Cls1,0))</f>
        <v>1151412</v>
      </c>
      <c r="J19" s="1108">
        <f t="shared" si="13"/>
        <v>1151412</v>
      </c>
      <c r="K19" s="1108">
        <f t="shared" si="13"/>
        <v>1151412</v>
      </c>
      <c r="L19" s="1108">
        <f t="shared" si="13"/>
        <v>1151412</v>
      </c>
      <c r="M19" s="1109">
        <f t="shared" si="13"/>
        <v>1151412</v>
      </c>
      <c r="N19" s="1105">
        <f t="shared" si="10"/>
        <v>81898</v>
      </c>
      <c r="O19" s="1108">
        <f t="shared" ref="O19:S28" si="14">$B19+INDEX(COST_Cls3,MATCH($A19,Years,0),MATCH(O$6,TECHOPTS_Cls1,0))</f>
        <v>1151412</v>
      </c>
      <c r="P19" s="1108">
        <f t="shared" si="14"/>
        <v>1151412</v>
      </c>
      <c r="Q19" s="1108">
        <f t="shared" si="14"/>
        <v>1151412</v>
      </c>
      <c r="R19" s="1108">
        <f t="shared" si="14"/>
        <v>1151412</v>
      </c>
      <c r="S19" s="1109">
        <f t="shared" si="14"/>
        <v>1151412</v>
      </c>
    </row>
    <row r="20" spans="1:19" s="1019" customFormat="1" ht="15" x14ac:dyDescent="0.25">
      <c r="A20" s="1034">
        <v>2018</v>
      </c>
      <c r="B20" s="1105">
        <f t="shared" si="6"/>
        <v>151412</v>
      </c>
      <c r="C20" s="1108">
        <f t="shared" si="12"/>
        <v>1151412</v>
      </c>
      <c r="D20" s="1108">
        <f t="shared" si="12"/>
        <v>1151412</v>
      </c>
      <c r="E20" s="1108">
        <f t="shared" si="12"/>
        <v>1151412</v>
      </c>
      <c r="F20" s="1108">
        <f t="shared" si="12"/>
        <v>1151412</v>
      </c>
      <c r="G20" s="1109">
        <f t="shared" si="12"/>
        <v>1151412</v>
      </c>
      <c r="H20" s="1105">
        <f t="shared" si="8"/>
        <v>138005</v>
      </c>
      <c r="I20" s="1108">
        <f t="shared" si="13"/>
        <v>1151412</v>
      </c>
      <c r="J20" s="1108">
        <f t="shared" si="13"/>
        <v>1151412</v>
      </c>
      <c r="K20" s="1108">
        <f t="shared" si="13"/>
        <v>1151412</v>
      </c>
      <c r="L20" s="1108">
        <f t="shared" si="13"/>
        <v>1151412</v>
      </c>
      <c r="M20" s="1109">
        <f t="shared" si="13"/>
        <v>1151412</v>
      </c>
      <c r="N20" s="1105">
        <f t="shared" si="10"/>
        <v>81898</v>
      </c>
      <c r="O20" s="1108">
        <f t="shared" si="14"/>
        <v>1151412</v>
      </c>
      <c r="P20" s="1108">
        <f t="shared" si="14"/>
        <v>1151412</v>
      </c>
      <c r="Q20" s="1108">
        <f t="shared" si="14"/>
        <v>1151412</v>
      </c>
      <c r="R20" s="1108">
        <f t="shared" si="14"/>
        <v>1151412</v>
      </c>
      <c r="S20" s="1109">
        <f t="shared" si="14"/>
        <v>1151412</v>
      </c>
    </row>
    <row r="21" spans="1:19" s="1019" customFormat="1" ht="15" x14ac:dyDescent="0.25">
      <c r="A21" s="1034">
        <v>2019</v>
      </c>
      <c r="B21" s="1105">
        <f t="shared" si="6"/>
        <v>151412</v>
      </c>
      <c r="C21" s="1108">
        <f t="shared" si="12"/>
        <v>1151412</v>
      </c>
      <c r="D21" s="1108">
        <f t="shared" si="12"/>
        <v>1151412</v>
      </c>
      <c r="E21" s="1108">
        <f t="shared" si="12"/>
        <v>1151412</v>
      </c>
      <c r="F21" s="1108">
        <f t="shared" si="12"/>
        <v>1151412</v>
      </c>
      <c r="G21" s="1109">
        <f t="shared" si="12"/>
        <v>1151412</v>
      </c>
      <c r="H21" s="1105">
        <f t="shared" si="8"/>
        <v>138005</v>
      </c>
      <c r="I21" s="1108">
        <f t="shared" si="13"/>
        <v>1151412</v>
      </c>
      <c r="J21" s="1108">
        <f t="shared" si="13"/>
        <v>1151412</v>
      </c>
      <c r="K21" s="1108">
        <f t="shared" si="13"/>
        <v>1151412</v>
      </c>
      <c r="L21" s="1108">
        <f t="shared" si="13"/>
        <v>1151412</v>
      </c>
      <c r="M21" s="1109">
        <f t="shared" si="13"/>
        <v>1151412</v>
      </c>
      <c r="N21" s="1105">
        <f t="shared" si="10"/>
        <v>81898</v>
      </c>
      <c r="O21" s="1108">
        <f t="shared" si="14"/>
        <v>1151412</v>
      </c>
      <c r="P21" s="1108">
        <f t="shared" si="14"/>
        <v>1151412</v>
      </c>
      <c r="Q21" s="1108">
        <f t="shared" si="14"/>
        <v>1151412</v>
      </c>
      <c r="R21" s="1108">
        <f t="shared" si="14"/>
        <v>1151412</v>
      </c>
      <c r="S21" s="1109">
        <f t="shared" si="14"/>
        <v>1151412</v>
      </c>
    </row>
    <row r="22" spans="1:19" s="1019" customFormat="1" ht="15" x14ac:dyDescent="0.25">
      <c r="A22" s="1040">
        <v>2020</v>
      </c>
      <c r="B22" s="1110">
        <f t="shared" si="6"/>
        <v>151412</v>
      </c>
      <c r="C22" s="1111">
        <f t="shared" si="12"/>
        <v>1151412</v>
      </c>
      <c r="D22" s="1111">
        <f t="shared" si="12"/>
        <v>1151412</v>
      </c>
      <c r="E22" s="1111">
        <f t="shared" si="12"/>
        <v>1151412</v>
      </c>
      <c r="F22" s="1111">
        <f t="shared" si="12"/>
        <v>1151412</v>
      </c>
      <c r="G22" s="1112">
        <f t="shared" si="12"/>
        <v>1151412</v>
      </c>
      <c r="H22" s="1110">
        <f t="shared" si="8"/>
        <v>138005</v>
      </c>
      <c r="I22" s="1111">
        <f t="shared" si="13"/>
        <v>1151412</v>
      </c>
      <c r="J22" s="1111">
        <f t="shared" si="13"/>
        <v>1151412</v>
      </c>
      <c r="K22" s="1111">
        <f t="shared" si="13"/>
        <v>1151412</v>
      </c>
      <c r="L22" s="1111">
        <f t="shared" si="13"/>
        <v>1151412</v>
      </c>
      <c r="M22" s="1112">
        <f t="shared" si="13"/>
        <v>1151412</v>
      </c>
      <c r="N22" s="1110">
        <f t="shared" si="10"/>
        <v>81898</v>
      </c>
      <c r="O22" s="1111">
        <f t="shared" si="14"/>
        <v>1151412</v>
      </c>
      <c r="P22" s="1111">
        <f t="shared" si="14"/>
        <v>1151412</v>
      </c>
      <c r="Q22" s="1111">
        <f t="shared" si="14"/>
        <v>1151412</v>
      </c>
      <c r="R22" s="1111">
        <f t="shared" si="14"/>
        <v>1151412</v>
      </c>
      <c r="S22" s="1112">
        <f t="shared" si="14"/>
        <v>1151412</v>
      </c>
    </row>
    <row r="23" spans="1:19" s="1019" customFormat="1" ht="15" x14ac:dyDescent="0.25">
      <c r="A23" s="1034">
        <v>2021</v>
      </c>
      <c r="B23" s="1113">
        <f t="shared" si="6"/>
        <v>151412</v>
      </c>
      <c r="C23" s="1114">
        <f t="shared" si="12"/>
        <v>151412</v>
      </c>
      <c r="D23" s="1114">
        <f t="shared" si="12"/>
        <v>161111</v>
      </c>
      <c r="E23" s="1114">
        <f t="shared" si="12"/>
        <v>892070</v>
      </c>
      <c r="F23" s="1114">
        <f t="shared" si="12"/>
        <v>357520</v>
      </c>
      <c r="G23" s="1115">
        <f t="shared" si="12"/>
        <v>559294</v>
      </c>
      <c r="H23" s="1113">
        <f t="shared" si="8"/>
        <v>138005</v>
      </c>
      <c r="I23" s="1114">
        <f t="shared" si="13"/>
        <v>151413</v>
      </c>
      <c r="J23" s="1114">
        <f t="shared" si="13"/>
        <v>161111</v>
      </c>
      <c r="K23" s="1114">
        <f t="shared" si="13"/>
        <v>601451</v>
      </c>
      <c r="L23" s="1114">
        <f t="shared" si="13"/>
        <v>283257</v>
      </c>
      <c r="M23" s="1115">
        <f t="shared" si="13"/>
        <v>383035</v>
      </c>
      <c r="N23" s="1113">
        <f t="shared" si="10"/>
        <v>81898</v>
      </c>
      <c r="O23" s="1114">
        <f t="shared" si="14"/>
        <v>151413</v>
      </c>
      <c r="P23" s="1114">
        <f t="shared" si="14"/>
        <v>158176</v>
      </c>
      <c r="Q23" s="1114">
        <f t="shared" si="14"/>
        <v>474068</v>
      </c>
      <c r="R23" s="1114">
        <f t="shared" si="14"/>
        <v>262297</v>
      </c>
      <c r="S23" s="1115">
        <f t="shared" si="14"/>
        <v>311795</v>
      </c>
    </row>
    <row r="24" spans="1:19" s="1019" customFormat="1" ht="15" x14ac:dyDescent="0.25">
      <c r="A24" s="1034">
        <v>2022</v>
      </c>
      <c r="B24" s="1105">
        <f t="shared" si="6"/>
        <v>152694.05291325031</v>
      </c>
      <c r="C24" s="1108">
        <f t="shared" si="12"/>
        <v>153047.68822747498</v>
      </c>
      <c r="D24" s="1108">
        <f t="shared" si="12"/>
        <v>162296.1294520552</v>
      </c>
      <c r="E24" s="1108">
        <f t="shared" si="12"/>
        <v>843624.37461489765</v>
      </c>
      <c r="F24" s="1108">
        <f t="shared" si="12"/>
        <v>341721.23775483726</v>
      </c>
      <c r="G24" s="1109">
        <f t="shared" si="12"/>
        <v>528368.02294149913</v>
      </c>
      <c r="H24" s="1105">
        <f t="shared" si="8"/>
        <v>138005</v>
      </c>
      <c r="I24" s="1108">
        <f t="shared" si="13"/>
        <v>153921.10490666691</v>
      </c>
      <c r="J24" s="1108">
        <f t="shared" si="13"/>
        <v>163339.75682632969</v>
      </c>
      <c r="K24" s="1108">
        <f t="shared" si="13"/>
        <v>582172.47275024327</v>
      </c>
      <c r="L24" s="1108">
        <f t="shared" si="13"/>
        <v>279209.21533998818</v>
      </c>
      <c r="M24" s="1109">
        <f t="shared" si="13"/>
        <v>373047.8834316436</v>
      </c>
      <c r="N24" s="1105">
        <f t="shared" si="10"/>
        <v>82087.725529534306</v>
      </c>
      <c r="O24" s="1108">
        <f t="shared" si="14"/>
        <v>152750.1465537897</v>
      </c>
      <c r="P24" s="1108">
        <f t="shared" si="14"/>
        <v>159220.5497997794</v>
      </c>
      <c r="Q24" s="1108">
        <f t="shared" si="14"/>
        <v>451113.9758732426</v>
      </c>
      <c r="R24" s="1108">
        <f t="shared" si="14"/>
        <v>255859.33992786141</v>
      </c>
      <c r="S24" s="1109">
        <f t="shared" si="14"/>
        <v>300914.32487138791</v>
      </c>
    </row>
    <row r="25" spans="1:19" s="1019" customFormat="1" ht="15" x14ac:dyDescent="0.25">
      <c r="A25" s="1034">
        <v>2023</v>
      </c>
      <c r="B25" s="1105">
        <f t="shared" si="6"/>
        <v>153887.62389136266</v>
      </c>
      <c r="C25" s="1108">
        <f t="shared" si="12"/>
        <v>154521.12498863181</v>
      </c>
      <c r="D25" s="1108">
        <f t="shared" si="12"/>
        <v>163412.99553314046</v>
      </c>
      <c r="E25" s="1108">
        <f t="shared" si="12"/>
        <v>805463.63038140675</v>
      </c>
      <c r="F25" s="1108">
        <f t="shared" si="12"/>
        <v>329397.10980113363</v>
      </c>
      <c r="G25" s="1109">
        <f t="shared" si="12"/>
        <v>504072.2687142744</v>
      </c>
      <c r="H25" s="1105">
        <f t="shared" si="8"/>
        <v>138005</v>
      </c>
      <c r="I25" s="1108">
        <f t="shared" si="13"/>
        <v>156506.38194306038</v>
      </c>
      <c r="J25" s="1108">
        <f t="shared" si="13"/>
        <v>165607.06679700295</v>
      </c>
      <c r="K25" s="1108">
        <f t="shared" si="13"/>
        <v>560046.5070435591</v>
      </c>
      <c r="L25" s="1108">
        <f t="shared" si="13"/>
        <v>274357.75539833494</v>
      </c>
      <c r="M25" s="1109">
        <f t="shared" si="13"/>
        <v>361460.11219810252</v>
      </c>
      <c r="N25" s="1105">
        <f t="shared" si="10"/>
        <v>82326.472177893869</v>
      </c>
      <c r="O25" s="1108">
        <f t="shared" si="14"/>
        <v>153988.10984794601</v>
      </c>
      <c r="P25" s="1108">
        <f t="shared" si="14"/>
        <v>160226.16162292793</v>
      </c>
      <c r="Q25" s="1108">
        <f t="shared" si="14"/>
        <v>433127.19804032333</v>
      </c>
      <c r="R25" s="1108">
        <f t="shared" si="14"/>
        <v>250943.55634597677</v>
      </c>
      <c r="S25" s="1109">
        <f t="shared" si="14"/>
        <v>292482.35430861695</v>
      </c>
    </row>
    <row r="26" spans="1:19" s="1019" customFormat="1" ht="15" x14ac:dyDescent="0.25">
      <c r="A26" s="1034">
        <v>2024</v>
      </c>
      <c r="B26" s="1105">
        <f t="shared" si="6"/>
        <v>155468.9856745867</v>
      </c>
      <c r="C26" s="1108">
        <f t="shared" si="12"/>
        <v>156469.31733511077</v>
      </c>
      <c r="D26" s="1108">
        <f t="shared" si="12"/>
        <v>164893.81733511074</v>
      </c>
      <c r="E26" s="1108">
        <f t="shared" si="12"/>
        <v>755461.81733511062</v>
      </c>
      <c r="F26" s="1108">
        <f t="shared" si="12"/>
        <v>313260.31733511068</v>
      </c>
      <c r="G26" s="1109">
        <f t="shared" si="12"/>
        <v>472243.81733511086</v>
      </c>
      <c r="H26" s="1105">
        <f t="shared" si="8"/>
        <v>138005</v>
      </c>
      <c r="I26" s="1108">
        <f t="shared" si="13"/>
        <v>160291.32575170783</v>
      </c>
      <c r="J26" s="1108">
        <f t="shared" si="13"/>
        <v>168888.55191440706</v>
      </c>
      <c r="K26" s="1108">
        <f t="shared" si="13"/>
        <v>524704.47428233002</v>
      </c>
      <c r="L26" s="1108">
        <f t="shared" si="13"/>
        <v>266367.61219409324</v>
      </c>
      <c r="M26" s="1109">
        <f t="shared" si="13"/>
        <v>342803.91318981082</v>
      </c>
      <c r="N26" s="1105">
        <f t="shared" si="10"/>
        <v>82591.997318871639</v>
      </c>
      <c r="O26" s="1108">
        <f t="shared" si="14"/>
        <v>155627.65830237171</v>
      </c>
      <c r="P26" s="1108">
        <f t="shared" si="14"/>
        <v>161561.15830237171</v>
      </c>
      <c r="Q26" s="1108">
        <f t="shared" si="14"/>
        <v>409568.1583023718</v>
      </c>
      <c r="R26" s="1108">
        <f t="shared" si="14"/>
        <v>244517.15830237174</v>
      </c>
      <c r="S26" s="1109">
        <f t="shared" si="14"/>
        <v>281447.15830237174</v>
      </c>
    </row>
    <row r="27" spans="1:19" s="1019" customFormat="1" ht="15" x14ac:dyDescent="0.25">
      <c r="A27" s="1040">
        <v>2025</v>
      </c>
      <c r="B27" s="1110">
        <f t="shared" si="6"/>
        <v>157278.03996967364</v>
      </c>
      <c r="C27" s="1111">
        <f t="shared" si="12"/>
        <v>158645.2021934526</v>
      </c>
      <c r="D27" s="1111">
        <f t="shared" si="12"/>
        <v>166602.33164894395</v>
      </c>
      <c r="E27" s="1111">
        <f t="shared" si="12"/>
        <v>705687.69680067734</v>
      </c>
      <c r="F27" s="1111">
        <f t="shared" si="12"/>
        <v>297351.21738095093</v>
      </c>
      <c r="G27" s="1112">
        <f t="shared" si="12"/>
        <v>440643.05846781016</v>
      </c>
      <c r="H27" s="1110">
        <f t="shared" si="8"/>
        <v>138005</v>
      </c>
      <c r="I27" s="1111">
        <f t="shared" si="13"/>
        <v>164573.74279791542</v>
      </c>
      <c r="J27" s="1111">
        <f t="shared" si="13"/>
        <v>172605.87269495148</v>
      </c>
      <c r="K27" s="1111">
        <f t="shared" si="13"/>
        <v>485069.66687518044</v>
      </c>
      <c r="L27" s="1111">
        <f t="shared" si="13"/>
        <v>257433.33874597325</v>
      </c>
      <c r="M27" s="1112">
        <f t="shared" si="13"/>
        <v>321897.7572237064</v>
      </c>
      <c r="N27" s="1110">
        <f t="shared" si="10"/>
        <v>82881.92275512802</v>
      </c>
      <c r="O27" s="1111">
        <f t="shared" si="14"/>
        <v>157494.89926866029</v>
      </c>
      <c r="P27" s="1111">
        <f t="shared" si="14"/>
        <v>163123.84749367839</v>
      </c>
      <c r="Q27" s="1111">
        <f t="shared" si="14"/>
        <v>386236.81107628305</v>
      </c>
      <c r="R27" s="1111">
        <f t="shared" si="14"/>
        <v>238318.45277062955</v>
      </c>
      <c r="S27" s="1112">
        <f t="shared" si="14"/>
        <v>270639.65480798949</v>
      </c>
    </row>
    <row r="28" spans="1:19" s="1019" customFormat="1" ht="15" x14ac:dyDescent="0.25">
      <c r="A28" s="1034">
        <v>2026</v>
      </c>
      <c r="B28" s="1113">
        <f t="shared" si="6"/>
        <v>159370.44685304872</v>
      </c>
      <c r="C28" s="1114">
        <f t="shared" si="12"/>
        <v>161017.47485987216</v>
      </c>
      <c r="D28" s="1114">
        <f t="shared" si="12"/>
        <v>168618.03363529194</v>
      </c>
      <c r="E28" s="1114">
        <f t="shared" si="12"/>
        <v>668425.78847244882</v>
      </c>
      <c r="F28" s="1114">
        <f t="shared" si="12"/>
        <v>285925.92533250985</v>
      </c>
      <c r="G28" s="1115">
        <f t="shared" si="12"/>
        <v>417246.14014584827</v>
      </c>
      <c r="H28" s="1113">
        <f t="shared" si="8"/>
        <v>138005</v>
      </c>
      <c r="I28" s="1114">
        <f t="shared" si="13"/>
        <v>168566.41518001884</v>
      </c>
      <c r="J28" s="1114">
        <f t="shared" si="13"/>
        <v>176164.38598065331</v>
      </c>
      <c r="K28" s="1114">
        <f t="shared" si="13"/>
        <v>455321.07490339479</v>
      </c>
      <c r="L28" s="1114">
        <f t="shared" si="13"/>
        <v>251271.72990007565</v>
      </c>
      <c r="M28" s="1115">
        <f t="shared" si="13"/>
        <v>306538.24350378761</v>
      </c>
      <c r="N28" s="1113">
        <f t="shared" si="10"/>
        <v>83172.1840849359</v>
      </c>
      <c r="O28" s="1114">
        <f t="shared" si="14"/>
        <v>159631.69846807935</v>
      </c>
      <c r="P28" s="1114">
        <f t="shared" si="14"/>
        <v>165028.29522208963</v>
      </c>
      <c r="Q28" s="1114">
        <f t="shared" si="14"/>
        <v>369148.86914862634</v>
      </c>
      <c r="R28" s="1114">
        <f t="shared" si="14"/>
        <v>234301.50509400762</v>
      </c>
      <c r="S28" s="1115">
        <f t="shared" si="14"/>
        <v>263106.52015048126</v>
      </c>
    </row>
    <row r="29" spans="1:19" s="1019" customFormat="1" ht="15" x14ac:dyDescent="0.25">
      <c r="A29" s="1034">
        <v>2027</v>
      </c>
      <c r="B29" s="1105">
        <f t="shared" si="6"/>
        <v>161438.64993857368</v>
      </c>
      <c r="C29" s="1108">
        <f t="shared" ref="C29:G38" si="15">$B29+INDEX(COST_Cls1,MATCH($A29,Years,0),MATCH(C$6,TECHOPTS_Cls1,0))</f>
        <v>163439.31325962179</v>
      </c>
      <c r="D29" s="1108">
        <f t="shared" si="15"/>
        <v>170589.31325962179</v>
      </c>
      <c r="E29" s="1108">
        <f t="shared" si="15"/>
        <v>620766.31325962185</v>
      </c>
      <c r="F29" s="1108">
        <f t="shared" si="15"/>
        <v>270913.31325962179</v>
      </c>
      <c r="G29" s="1109">
        <f t="shared" si="15"/>
        <v>387106.31325962179</v>
      </c>
      <c r="H29" s="1105">
        <f t="shared" si="8"/>
        <v>138005</v>
      </c>
      <c r="I29" s="1108">
        <f t="shared" ref="I29:M38" si="16">$B29+INDEX(COST_Cls2,MATCH($A29,Years,0),MATCH(I$6,TECHOPTS_Cls1,0))</f>
        <v>172595.33603914065</v>
      </c>
      <c r="J29" s="1108">
        <f t="shared" si="16"/>
        <v>179745.33603914065</v>
      </c>
      <c r="K29" s="1108">
        <f t="shared" si="16"/>
        <v>424535.33603914059</v>
      </c>
      <c r="L29" s="1108">
        <f t="shared" si="16"/>
        <v>244823.33603914065</v>
      </c>
      <c r="M29" s="1109">
        <f t="shared" si="16"/>
        <v>290599.33603914059</v>
      </c>
      <c r="N29" s="1105">
        <f t="shared" si="10"/>
        <v>83484.726277849884</v>
      </c>
      <c r="O29" s="1108">
        <f t="shared" ref="O29:S38" si="17">$B29+INDEX(COST_Cls3,MATCH($A29,Years,0),MATCH(O$6,TECHOPTS_Cls1,0))</f>
        <v>161755.99519414367</v>
      </c>
      <c r="P29" s="1108">
        <f t="shared" si="17"/>
        <v>166858.99519414367</v>
      </c>
      <c r="Q29" s="1108">
        <f t="shared" si="17"/>
        <v>346980.99519414373</v>
      </c>
      <c r="R29" s="1108">
        <f t="shared" si="17"/>
        <v>228649.99519414367</v>
      </c>
      <c r="S29" s="1109">
        <f t="shared" si="17"/>
        <v>253011.99519414367</v>
      </c>
    </row>
    <row r="30" spans="1:19" s="1019" customFormat="1" ht="15" x14ac:dyDescent="0.25">
      <c r="A30" s="1034">
        <v>2028</v>
      </c>
      <c r="B30" s="1105">
        <f t="shared" si="6"/>
        <v>161925.61809378397</v>
      </c>
      <c r="C30" s="1108">
        <f t="shared" si="15"/>
        <v>164119.10318773461</v>
      </c>
      <c r="D30" s="1108">
        <f t="shared" si="15"/>
        <v>171083.88592562635</v>
      </c>
      <c r="E30" s="1108">
        <f t="shared" si="15"/>
        <v>569606.64101997705</v>
      </c>
      <c r="F30" s="1108">
        <f t="shared" si="15"/>
        <v>266563.02977332578</v>
      </c>
      <c r="G30" s="1109">
        <f t="shared" si="15"/>
        <v>364346.3837518798</v>
      </c>
      <c r="H30" s="1105">
        <f t="shared" si="8"/>
        <v>138718.45332461005</v>
      </c>
      <c r="I30" s="1108">
        <f t="shared" si="16"/>
        <v>173576.16105293421</v>
      </c>
      <c r="J30" s="1108">
        <f t="shared" si="16"/>
        <v>180569.95141112059</v>
      </c>
      <c r="K30" s="1108">
        <f t="shared" si="16"/>
        <v>400050.3845994263</v>
      </c>
      <c r="L30" s="1108">
        <f t="shared" si="16"/>
        <v>242354.93200042658</v>
      </c>
      <c r="M30" s="1109">
        <f t="shared" si="16"/>
        <v>281000.76292672107</v>
      </c>
      <c r="N30" s="1105">
        <f t="shared" si="10"/>
        <v>83784.744700380907</v>
      </c>
      <c r="O30" s="1108">
        <f t="shared" si="17"/>
        <v>162715.22992035875</v>
      </c>
      <c r="P30" s="1108">
        <f t="shared" si="17"/>
        <v>167399.74246571772</v>
      </c>
      <c r="Q30" s="1108">
        <f t="shared" si="17"/>
        <v>332274.55273534963</v>
      </c>
      <c r="R30" s="1108">
        <f t="shared" si="17"/>
        <v>226724.33767985465</v>
      </c>
      <c r="S30" s="1109">
        <f t="shared" si="17"/>
        <v>246600.50832563866</v>
      </c>
    </row>
    <row r="31" spans="1:19" s="1019" customFormat="1" ht="15" x14ac:dyDescent="0.25">
      <c r="A31" s="1034">
        <v>2029</v>
      </c>
      <c r="B31" s="1105">
        <f t="shared" si="6"/>
        <v>162512.84826185249</v>
      </c>
      <c r="C31" s="1108">
        <f t="shared" si="15"/>
        <v>164852.47486585897</v>
      </c>
      <c r="D31" s="1108">
        <f t="shared" si="15"/>
        <v>171676.87962689958</v>
      </c>
      <c r="E31" s="1108">
        <f t="shared" si="15"/>
        <v>531050.37663864682</v>
      </c>
      <c r="F31" s="1108">
        <f t="shared" si="15"/>
        <v>263484.05954935018</v>
      </c>
      <c r="G31" s="1109">
        <f t="shared" si="15"/>
        <v>347314.56251596054</v>
      </c>
      <c r="H31" s="1105">
        <f t="shared" si="8"/>
        <v>139224.49553988935</v>
      </c>
      <c r="I31" s="1108">
        <f t="shared" si="16"/>
        <v>174534.67537435971</v>
      </c>
      <c r="J31" s="1108">
        <f t="shared" si="16"/>
        <v>181411.02651185094</v>
      </c>
      <c r="K31" s="1108">
        <f t="shared" si="16"/>
        <v>381863.59581168205</v>
      </c>
      <c r="L31" s="1108">
        <f t="shared" si="16"/>
        <v>240720.29799104133</v>
      </c>
      <c r="M31" s="1109">
        <f t="shared" si="16"/>
        <v>274005.63074501662</v>
      </c>
      <c r="N31" s="1105">
        <f t="shared" si="10"/>
        <v>84366.519224326781</v>
      </c>
      <c r="O31" s="1108">
        <f t="shared" si="17"/>
        <v>163574.50962860635</v>
      </c>
      <c r="P31" s="1108">
        <f t="shared" si="17"/>
        <v>168017.95213726215</v>
      </c>
      <c r="Q31" s="1108">
        <f t="shared" si="17"/>
        <v>324109.60643135116</v>
      </c>
      <c r="R31" s="1108">
        <f t="shared" si="17"/>
        <v>225921.77287976549</v>
      </c>
      <c r="S31" s="1109">
        <f t="shared" si="17"/>
        <v>243213.87789808019</v>
      </c>
    </row>
    <row r="32" spans="1:19" s="1019" customFormat="1" ht="15" x14ac:dyDescent="0.25">
      <c r="A32" s="1040">
        <v>2030</v>
      </c>
      <c r="B32" s="1110">
        <f t="shared" si="6"/>
        <v>162980.88423840102</v>
      </c>
      <c r="C32" s="1111">
        <f t="shared" si="15"/>
        <v>165486.99988144112</v>
      </c>
      <c r="D32" s="1111">
        <f t="shared" si="15"/>
        <v>172151.48160310369</v>
      </c>
      <c r="E32" s="1111">
        <f t="shared" si="15"/>
        <v>486924.90328676411</v>
      </c>
      <c r="F32" s="1111">
        <f t="shared" si="15"/>
        <v>259775.44386859221</v>
      </c>
      <c r="G32" s="1112">
        <f t="shared" si="15"/>
        <v>327710.41683917469</v>
      </c>
      <c r="H32" s="1110">
        <f t="shared" si="8"/>
        <v>139523.14024300172</v>
      </c>
      <c r="I32" s="1111">
        <f t="shared" si="16"/>
        <v>175465.21391395963</v>
      </c>
      <c r="J32" s="1111">
        <f t="shared" si="16"/>
        <v>182195.27294584078</v>
      </c>
      <c r="K32" s="1111">
        <f t="shared" si="16"/>
        <v>358945.14516516728</v>
      </c>
      <c r="L32" s="1111">
        <f t="shared" si="16"/>
        <v>238420.59430638127</v>
      </c>
      <c r="M32" s="1112">
        <f t="shared" si="16"/>
        <v>265028.44265518157</v>
      </c>
      <c r="N32" s="1110">
        <f t="shared" si="10"/>
        <v>84892.630138550478</v>
      </c>
      <c r="O32" s="1111">
        <f t="shared" si="17"/>
        <v>164392.62642207032</v>
      </c>
      <c r="P32" s="1111">
        <f t="shared" si="17"/>
        <v>168525.85338936799</v>
      </c>
      <c r="Q32" s="1111">
        <f t="shared" si="17"/>
        <v>313315.1014489542</v>
      </c>
      <c r="R32" s="1111">
        <f t="shared" si="17"/>
        <v>224601.38253705858</v>
      </c>
      <c r="S32" s="1112">
        <f t="shared" si="17"/>
        <v>238568.24096524098</v>
      </c>
    </row>
    <row r="33" spans="1:19" s="1019" customFormat="1" ht="15" x14ac:dyDescent="0.25">
      <c r="A33" s="1034">
        <v>2031</v>
      </c>
      <c r="B33" s="1113">
        <f t="shared" si="6"/>
        <v>163384.93715879397</v>
      </c>
      <c r="C33" s="1114">
        <f t="shared" si="15"/>
        <v>166028.22986527576</v>
      </c>
      <c r="D33" s="1114">
        <f t="shared" si="15"/>
        <v>172560.94451659007</v>
      </c>
      <c r="E33" s="1114">
        <f t="shared" si="15"/>
        <v>450586.5574658243</v>
      </c>
      <c r="F33" s="1114">
        <f t="shared" si="15"/>
        <v>256738.18429962333</v>
      </c>
      <c r="G33" s="1115">
        <f t="shared" si="15"/>
        <v>311576.18620615685</v>
      </c>
      <c r="H33" s="1113">
        <f t="shared" si="8"/>
        <v>139576.09988215286</v>
      </c>
      <c r="I33" s="1114">
        <f t="shared" si="16"/>
        <v>176306.44091461011</v>
      </c>
      <c r="J33" s="1114">
        <f t="shared" si="16"/>
        <v>182898.21937935863</v>
      </c>
      <c r="K33" s="1114">
        <f t="shared" si="16"/>
        <v>337243.44863319024</v>
      </c>
      <c r="L33" s="1114">
        <f t="shared" si="16"/>
        <v>236208.48001507652</v>
      </c>
      <c r="M33" s="1115">
        <f t="shared" si="16"/>
        <v>256504.52960538623</v>
      </c>
      <c r="N33" s="1113">
        <f t="shared" si="10"/>
        <v>85375.139586938691</v>
      </c>
      <c r="O33" s="1114">
        <f t="shared" si="17"/>
        <v>165183.56360002837</v>
      </c>
      <c r="P33" s="1114">
        <f t="shared" si="17"/>
        <v>168973.96255846519</v>
      </c>
      <c r="Q33" s="1114">
        <f t="shared" si="17"/>
        <v>301272.6003547897</v>
      </c>
      <c r="R33" s="1114">
        <f t="shared" si="17"/>
        <v>223028.99471776318</v>
      </c>
      <c r="S33" s="1115">
        <f t="shared" si="17"/>
        <v>233321.02865947556</v>
      </c>
    </row>
    <row r="34" spans="1:19" s="1019" customFormat="1" ht="15" x14ac:dyDescent="0.25">
      <c r="A34" s="1034">
        <v>2032</v>
      </c>
      <c r="B34" s="1105">
        <f t="shared" si="6"/>
        <v>163647.29087656995</v>
      </c>
      <c r="C34" s="1108">
        <f t="shared" si="15"/>
        <v>166376.51568782539</v>
      </c>
      <c r="D34" s="1108">
        <f t="shared" si="15"/>
        <v>172826.68722726085</v>
      </c>
      <c r="E34" s="1108">
        <f t="shared" si="15"/>
        <v>427832.29616751045</v>
      </c>
      <c r="F34" s="1108">
        <f t="shared" si="15"/>
        <v>254844.78968764748</v>
      </c>
      <c r="G34" s="1109">
        <f t="shared" si="15"/>
        <v>301478.42957143195</v>
      </c>
      <c r="H34" s="1105">
        <f t="shared" si="8"/>
        <v>139629.10034424686</v>
      </c>
      <c r="I34" s="1108">
        <f t="shared" si="16"/>
        <v>176886.55653717287</v>
      </c>
      <c r="J34" s="1108">
        <f t="shared" si="16"/>
        <v>183377.8251629548</v>
      </c>
      <c r="K34" s="1108">
        <f t="shared" si="16"/>
        <v>321438.14104637591</v>
      </c>
      <c r="L34" s="1108">
        <f t="shared" si="16"/>
        <v>234569.26107799611</v>
      </c>
      <c r="M34" s="1109">
        <f t="shared" si="16"/>
        <v>250277.5519545525</v>
      </c>
      <c r="N34" s="1105">
        <f t="shared" si="10"/>
        <v>85427.114817694557</v>
      </c>
      <c r="O34" s="1108">
        <f t="shared" si="17"/>
        <v>165807.73261166475</v>
      </c>
      <c r="P34" s="1108">
        <f t="shared" si="17"/>
        <v>169277.51780941198</v>
      </c>
      <c r="Q34" s="1108">
        <f t="shared" si="17"/>
        <v>289894.90020563221</v>
      </c>
      <c r="R34" s="1108">
        <f t="shared" si="17"/>
        <v>221442.97525145419</v>
      </c>
      <c r="S34" s="1109">
        <f t="shared" si="17"/>
        <v>228298.30254134894</v>
      </c>
    </row>
    <row r="35" spans="1:19" s="1019" customFormat="1" ht="15" x14ac:dyDescent="0.25">
      <c r="A35" s="1034">
        <v>2033</v>
      </c>
      <c r="B35" s="1105">
        <f t="shared" si="6"/>
        <v>163724.32308695698</v>
      </c>
      <c r="C35" s="1108">
        <f t="shared" si="15"/>
        <v>166498.50008213098</v>
      </c>
      <c r="D35" s="1108">
        <f t="shared" si="15"/>
        <v>172905.49226320948</v>
      </c>
      <c r="E35" s="1108">
        <f t="shared" si="15"/>
        <v>415869.04245552543</v>
      </c>
      <c r="F35" s="1108">
        <f t="shared" si="15"/>
        <v>253794.12235365133</v>
      </c>
      <c r="G35" s="1109">
        <f t="shared" si="15"/>
        <v>296135.95544936153</v>
      </c>
      <c r="H35" s="1105">
        <f t="shared" si="8"/>
        <v>139682.1416607514</v>
      </c>
      <c r="I35" s="1108">
        <f t="shared" si="16"/>
        <v>177153.15713622238</v>
      </c>
      <c r="J35" s="1108">
        <f t="shared" si="16"/>
        <v>183584.46423757169</v>
      </c>
      <c r="K35" s="1108">
        <f t="shared" si="16"/>
        <v>311929.62943542324</v>
      </c>
      <c r="L35" s="1108">
        <f t="shared" si="16"/>
        <v>233511.86509332404</v>
      </c>
      <c r="M35" s="1109">
        <f t="shared" si="16"/>
        <v>246483.21987452896</v>
      </c>
      <c r="N35" s="1105">
        <f t="shared" si="10"/>
        <v>85479.195721251788</v>
      </c>
      <c r="O35" s="1108">
        <f t="shared" si="17"/>
        <v>166173.98899256403</v>
      </c>
      <c r="P35" s="1108">
        <f t="shared" si="17"/>
        <v>169387.48527559763</v>
      </c>
      <c r="Q35" s="1108">
        <f t="shared" si="17"/>
        <v>280667.22644723102</v>
      </c>
      <c r="R35" s="1108">
        <f t="shared" si="17"/>
        <v>220042.47400751917</v>
      </c>
      <c r="S35" s="1109">
        <f t="shared" si="17"/>
        <v>224150.60224990937</v>
      </c>
    </row>
    <row r="36" spans="1:19" s="1019" customFormat="1" ht="15" x14ac:dyDescent="0.25">
      <c r="A36" s="1034">
        <v>2034</v>
      </c>
      <c r="B36" s="1105">
        <f t="shared" si="6"/>
        <v>163799.77124309973</v>
      </c>
      <c r="C36" s="1108">
        <f t="shared" si="15"/>
        <v>166595.26125664756</v>
      </c>
      <c r="D36" s="1108">
        <f t="shared" si="15"/>
        <v>172981.7809628025</v>
      </c>
      <c r="E36" s="1108">
        <f t="shared" si="15"/>
        <v>410235.87286009348</v>
      </c>
      <c r="F36" s="1108">
        <f t="shared" si="15"/>
        <v>253334.89835341723</v>
      </c>
      <c r="G36" s="1109">
        <f t="shared" si="15"/>
        <v>293641.87242877757</v>
      </c>
      <c r="H36" s="1105">
        <f t="shared" si="8"/>
        <v>139735.22386315826</v>
      </c>
      <c r="I36" s="1108">
        <f t="shared" si="16"/>
        <v>177328.66141894559</v>
      </c>
      <c r="J36" s="1108">
        <f t="shared" si="16"/>
        <v>183728.32021689942</v>
      </c>
      <c r="K36" s="1108">
        <f t="shared" si="16"/>
        <v>306945.72991921718</v>
      </c>
      <c r="L36" s="1108">
        <f t="shared" si="16"/>
        <v>232988.55049222591</v>
      </c>
      <c r="M36" s="1109">
        <f t="shared" si="16"/>
        <v>244515.32252241802</v>
      </c>
      <c r="N36" s="1105">
        <f t="shared" si="10"/>
        <v>85531.382512457712</v>
      </c>
      <c r="O36" s="1108">
        <f t="shared" si="17"/>
        <v>166452.98553420027</v>
      </c>
      <c r="P36" s="1108">
        <f t="shared" si="17"/>
        <v>169486.11240095226</v>
      </c>
      <c r="Q36" s="1108">
        <f t="shared" si="17"/>
        <v>274194.26658448612</v>
      </c>
      <c r="R36" s="1108">
        <f t="shared" si="17"/>
        <v>219078.0728709586</v>
      </c>
      <c r="S36" s="1109">
        <f t="shared" si="17"/>
        <v>221252.79447669577</v>
      </c>
    </row>
    <row r="37" spans="1:19" s="1019" customFormat="1" ht="15" x14ac:dyDescent="0.25">
      <c r="A37" s="1040">
        <v>2035</v>
      </c>
      <c r="B37" s="1110">
        <f t="shared" si="6"/>
        <v>163848.29249390995</v>
      </c>
      <c r="C37" s="1111">
        <f t="shared" si="15"/>
        <v>166660.98046726114</v>
      </c>
      <c r="D37" s="1111">
        <f t="shared" si="15"/>
        <v>173030.98046726114</v>
      </c>
      <c r="E37" s="1111">
        <f t="shared" si="15"/>
        <v>405677.98046726116</v>
      </c>
      <c r="F37" s="1111">
        <f t="shared" si="15"/>
        <v>252951.98046726114</v>
      </c>
      <c r="G37" s="1112">
        <f t="shared" si="15"/>
        <v>291616.98046726116</v>
      </c>
      <c r="H37" s="1110">
        <f t="shared" si="8"/>
        <v>139788.33333333334</v>
      </c>
      <c r="I37" s="1111">
        <f t="shared" si="16"/>
        <v>177470.94897391458</v>
      </c>
      <c r="J37" s="1111">
        <f t="shared" si="16"/>
        <v>183840.94897391458</v>
      </c>
      <c r="K37" s="1111">
        <f t="shared" si="16"/>
        <v>302252.94897391455</v>
      </c>
      <c r="L37" s="1111">
        <f t="shared" si="16"/>
        <v>232475.94897391458</v>
      </c>
      <c r="M37" s="1112">
        <f t="shared" si="16"/>
        <v>242648.94897391458</v>
      </c>
      <c r="N37" s="1110">
        <f t="shared" si="10"/>
        <v>85583.675406596507</v>
      </c>
      <c r="O37" s="1111">
        <f t="shared" si="17"/>
        <v>166817.63228253764</v>
      </c>
      <c r="P37" s="1111">
        <f t="shared" si="17"/>
        <v>169570.63228253764</v>
      </c>
      <c r="Q37" s="1111">
        <f t="shared" si="17"/>
        <v>264072.63228253764</v>
      </c>
      <c r="R37" s="1111">
        <f t="shared" si="17"/>
        <v>217511.63228253764</v>
      </c>
      <c r="S37" s="1112">
        <f t="shared" si="17"/>
        <v>216683.63228253764</v>
      </c>
    </row>
    <row r="38" spans="1:19" s="1019" customFormat="1" ht="15" x14ac:dyDescent="0.25">
      <c r="A38" s="1034">
        <v>2036</v>
      </c>
      <c r="B38" s="1113">
        <f t="shared" si="6"/>
        <v>163848.29249390995</v>
      </c>
      <c r="C38" s="1114">
        <f t="shared" si="15"/>
        <v>166854.4232954972</v>
      </c>
      <c r="D38" s="1114">
        <f t="shared" si="15"/>
        <v>173140.62443340963</v>
      </c>
      <c r="E38" s="1114">
        <f t="shared" si="15"/>
        <v>398317.28248856706</v>
      </c>
      <c r="F38" s="1114">
        <f t="shared" si="15"/>
        <v>250602.19315319229</v>
      </c>
      <c r="G38" s="1115">
        <f t="shared" si="15"/>
        <v>288491.87637616741</v>
      </c>
      <c r="H38" s="1113">
        <f t="shared" si="8"/>
        <v>139788.33333333334</v>
      </c>
      <c r="I38" s="1114">
        <f t="shared" si="16"/>
        <v>177669.05424480533</v>
      </c>
      <c r="J38" s="1114">
        <f t="shared" si="16"/>
        <v>183955.25538271776</v>
      </c>
      <c r="K38" s="1114">
        <f t="shared" si="16"/>
        <v>298162.86677293706</v>
      </c>
      <c r="L38" s="1114">
        <f t="shared" si="16"/>
        <v>231092.21541293582</v>
      </c>
      <c r="M38" s="1115">
        <f t="shared" si="16"/>
        <v>240928.75085041585</v>
      </c>
      <c r="N38" s="1113">
        <f t="shared" si="10"/>
        <v>85592.950085636796</v>
      </c>
      <c r="O38" s="1114">
        <f t="shared" si="17"/>
        <v>166744.06935681793</v>
      </c>
      <c r="P38" s="1114">
        <f t="shared" si="17"/>
        <v>169160.84921868824</v>
      </c>
      <c r="Q38" s="1114">
        <f t="shared" si="17"/>
        <v>258063.19027823998</v>
      </c>
      <c r="R38" s="1114">
        <f t="shared" si="17"/>
        <v>214818.48374842887</v>
      </c>
      <c r="S38" s="1115">
        <f t="shared" si="17"/>
        <v>214226.79886916245</v>
      </c>
    </row>
    <row r="39" spans="1:19" s="1019" customFormat="1" ht="15" x14ac:dyDescent="0.25">
      <c r="A39" s="1034">
        <v>2037</v>
      </c>
      <c r="B39" s="1105">
        <f t="shared" si="6"/>
        <v>163848.29249390995</v>
      </c>
      <c r="C39" s="1108">
        <f t="shared" ref="C39:G52" si="18">$B39+INDEX(COST_Cls1,MATCH($A39,Years,0),MATCH(C$6,TECHOPTS_Cls1,0))</f>
        <v>166972.37347042616</v>
      </c>
      <c r="D39" s="1108">
        <f t="shared" si="18"/>
        <v>173207.47894078551</v>
      </c>
      <c r="E39" s="1108">
        <f t="shared" si="18"/>
        <v>393829.15738151083</v>
      </c>
      <c r="F39" s="1108">
        <f t="shared" si="18"/>
        <v>249169.4296474703</v>
      </c>
      <c r="G39" s="1109">
        <f t="shared" si="18"/>
        <v>286586.36983670603</v>
      </c>
      <c r="H39" s="1105">
        <f t="shared" si="8"/>
        <v>139788.33333333334</v>
      </c>
      <c r="I39" s="1108">
        <f t="shared" ref="I39:M52" si="19">$B39+INDEX(COST_Cls2,MATCH($A39,Years,0),MATCH(I$6,TECHOPTS_Cls1,0))</f>
        <v>177789.84730583004</v>
      </c>
      <c r="J39" s="1108">
        <f t="shared" si="19"/>
        <v>184024.9527761894</v>
      </c>
      <c r="K39" s="1108">
        <f t="shared" si="19"/>
        <v>295668.97276053973</v>
      </c>
      <c r="L39" s="1108">
        <f t="shared" si="19"/>
        <v>230248.49524475596</v>
      </c>
      <c r="M39" s="1109">
        <f t="shared" si="19"/>
        <v>239879.87418008747</v>
      </c>
      <c r="N39" s="1105">
        <f t="shared" si="10"/>
        <v>85609.656476395932</v>
      </c>
      <c r="O39" s="1108">
        <f t="shared" ref="O39:S52" si="20">$B39+INDEX(COST_Cls3,MATCH($A39,Years,0),MATCH(O$6,TECHOPTS_Cls1,0))</f>
        <v>166711.49827216865</v>
      </c>
      <c r="P39" s="1108">
        <f t="shared" si="20"/>
        <v>168979.41164357963</v>
      </c>
      <c r="Q39" s="1108">
        <f t="shared" si="20"/>
        <v>255402.42002879817</v>
      </c>
      <c r="R39" s="1108">
        <f t="shared" si="20"/>
        <v>213626.05198991293</v>
      </c>
      <c r="S39" s="1109">
        <f t="shared" si="20"/>
        <v>213138.999161724</v>
      </c>
    </row>
    <row r="40" spans="1:19" s="1019" customFormat="1" ht="15" x14ac:dyDescent="0.25">
      <c r="A40" s="1034">
        <v>2038</v>
      </c>
      <c r="B40" s="1105">
        <f t="shared" si="6"/>
        <v>163848.29249390995</v>
      </c>
      <c r="C40" s="1108">
        <f t="shared" si="18"/>
        <v>167155.11945053158</v>
      </c>
      <c r="D40" s="1108">
        <f t="shared" si="18"/>
        <v>173311.05990183307</v>
      </c>
      <c r="E40" s="1108">
        <f t="shared" si="18"/>
        <v>386875.48544317967</v>
      </c>
      <c r="F40" s="1108">
        <f t="shared" si="18"/>
        <v>246949.57900909567</v>
      </c>
      <c r="G40" s="1109">
        <f t="shared" si="18"/>
        <v>283634.07527367631</v>
      </c>
      <c r="H40" s="1105">
        <f t="shared" si="8"/>
        <v>139788.33333333334</v>
      </c>
      <c r="I40" s="1108">
        <f t="shared" si="19"/>
        <v>177976.9979085332</v>
      </c>
      <c r="J40" s="1108">
        <f t="shared" si="19"/>
        <v>184132.93835983472</v>
      </c>
      <c r="K40" s="1108">
        <f t="shared" si="19"/>
        <v>291805.06068199367</v>
      </c>
      <c r="L40" s="1108">
        <f t="shared" si="19"/>
        <v>228941.27828503874</v>
      </c>
      <c r="M40" s="1109">
        <f t="shared" si="19"/>
        <v>238254.79820843821</v>
      </c>
      <c r="N40" s="1105">
        <f t="shared" si="10"/>
        <v>85622.775192988818</v>
      </c>
      <c r="O40" s="1108">
        <f t="shared" si="20"/>
        <v>166666.70347481084</v>
      </c>
      <c r="P40" s="1108">
        <f t="shared" si="20"/>
        <v>168729.88174619977</v>
      </c>
      <c r="Q40" s="1108">
        <f t="shared" si="20"/>
        <v>251743.0802977795</v>
      </c>
      <c r="R40" s="1108">
        <f t="shared" si="20"/>
        <v>211986.10847679627</v>
      </c>
      <c r="S40" s="1109">
        <f t="shared" si="20"/>
        <v>211642.95541662612</v>
      </c>
    </row>
    <row r="41" spans="1:19" s="1019" customFormat="1" ht="15" x14ac:dyDescent="0.25">
      <c r="A41" s="1034">
        <v>2039</v>
      </c>
      <c r="B41" s="1105">
        <f t="shared" si="6"/>
        <v>163848.29249390995</v>
      </c>
      <c r="C41" s="1108">
        <f t="shared" si="18"/>
        <v>167428.22013650127</v>
      </c>
      <c r="D41" s="1108">
        <f t="shared" si="18"/>
        <v>173465.85417692014</v>
      </c>
      <c r="E41" s="1108">
        <f t="shared" si="18"/>
        <v>376483.72429324407</v>
      </c>
      <c r="F41" s="1108">
        <f t="shared" si="18"/>
        <v>243632.17234581016</v>
      </c>
      <c r="G41" s="1109">
        <f t="shared" si="18"/>
        <v>279222.08399549394</v>
      </c>
      <c r="H41" s="1105">
        <f t="shared" si="8"/>
        <v>139788.33333333334</v>
      </c>
      <c r="I41" s="1108">
        <f t="shared" si="19"/>
        <v>178256.68098527388</v>
      </c>
      <c r="J41" s="1108">
        <f t="shared" si="19"/>
        <v>184294.31502569275</v>
      </c>
      <c r="K41" s="1108">
        <f t="shared" si="19"/>
        <v>286030.7227809974</v>
      </c>
      <c r="L41" s="1108">
        <f t="shared" si="19"/>
        <v>226987.73682708695</v>
      </c>
      <c r="M41" s="1109">
        <f t="shared" si="19"/>
        <v>235826.23938402929</v>
      </c>
      <c r="N41" s="1105">
        <f t="shared" si="10"/>
        <v>85637.696981363479</v>
      </c>
      <c r="O41" s="1108">
        <f t="shared" si="20"/>
        <v>166607.15695145747</v>
      </c>
      <c r="P41" s="1108">
        <f t="shared" si="20"/>
        <v>168398.17720151786</v>
      </c>
      <c r="Q41" s="1108">
        <f t="shared" si="20"/>
        <v>246878.65470365464</v>
      </c>
      <c r="R41" s="1108">
        <f t="shared" si="20"/>
        <v>209806.10230505362</v>
      </c>
      <c r="S41" s="1109">
        <f t="shared" si="20"/>
        <v>209654.23777396037</v>
      </c>
    </row>
    <row r="42" spans="1:19" s="1019" customFormat="1" ht="15" x14ac:dyDescent="0.25">
      <c r="A42" s="1040">
        <v>2040</v>
      </c>
      <c r="B42" s="1110">
        <f t="shared" si="6"/>
        <v>163848.29249390995</v>
      </c>
      <c r="C42" s="1111">
        <f t="shared" si="18"/>
        <v>167815.10147139855</v>
      </c>
      <c r="D42" s="1111">
        <f t="shared" si="18"/>
        <v>173685.13965973572</v>
      </c>
      <c r="E42" s="1111">
        <f t="shared" si="18"/>
        <v>361762.49277621025</v>
      </c>
      <c r="F42" s="1111">
        <f t="shared" si="18"/>
        <v>238932.65021267498</v>
      </c>
      <c r="G42" s="1112">
        <f t="shared" si="18"/>
        <v>272971.94562913454</v>
      </c>
      <c r="H42" s="1119">
        <f t="shared" si="8"/>
        <v>139788.33333333334</v>
      </c>
      <c r="I42" s="1120">
        <f t="shared" si="19"/>
        <v>178652.88710132008</v>
      </c>
      <c r="J42" s="1120">
        <f t="shared" si="19"/>
        <v>184522.92528965726</v>
      </c>
      <c r="K42" s="1120">
        <f t="shared" si="19"/>
        <v>277850.64975279092</v>
      </c>
      <c r="L42" s="1120">
        <f t="shared" si="19"/>
        <v>224220.30061818115</v>
      </c>
      <c r="M42" s="1121">
        <f t="shared" si="19"/>
        <v>232385.88156680978</v>
      </c>
      <c r="N42" s="1119">
        <f t="shared" si="10"/>
        <v>85657.467554077331</v>
      </c>
      <c r="O42" s="1120">
        <f t="shared" si="20"/>
        <v>166531.47998537865</v>
      </c>
      <c r="P42" s="1120">
        <f t="shared" si="20"/>
        <v>167976.61785325638</v>
      </c>
      <c r="Q42" s="1120">
        <f t="shared" si="20"/>
        <v>240696.51425365772</v>
      </c>
      <c r="R42" s="1120">
        <f t="shared" si="20"/>
        <v>207035.55847109092</v>
      </c>
      <c r="S42" s="1121">
        <f t="shared" si="20"/>
        <v>207126.80024933355</v>
      </c>
    </row>
    <row r="43" spans="1:19" s="1019" customFormat="1" ht="15" x14ac:dyDescent="0.25">
      <c r="A43" s="1034">
        <v>2041</v>
      </c>
      <c r="B43" s="1113">
        <f t="shared" si="6"/>
        <v>163848.29249390995</v>
      </c>
      <c r="C43" s="1114">
        <f t="shared" si="18"/>
        <v>168323.6044952902</v>
      </c>
      <c r="D43" s="1114">
        <f t="shared" si="18"/>
        <v>173973.36067493894</v>
      </c>
      <c r="E43" s="1114">
        <f t="shared" si="18"/>
        <v>342413.43127700803</v>
      </c>
      <c r="F43" s="1114">
        <f t="shared" si="18"/>
        <v>232755.76598490644</v>
      </c>
      <c r="G43" s="1115">
        <f t="shared" si="18"/>
        <v>264756.98674547859</v>
      </c>
      <c r="H43" s="1113">
        <f t="shared" si="8"/>
        <v>139788.33333333334</v>
      </c>
      <c r="I43" s="1114">
        <f t="shared" si="19"/>
        <v>179173.64628487529</v>
      </c>
      <c r="J43" s="1114">
        <f t="shared" si="19"/>
        <v>184823.40246452406</v>
      </c>
      <c r="K43" s="1114">
        <f t="shared" si="19"/>
        <v>267099.05360354279</v>
      </c>
      <c r="L43" s="1114">
        <f t="shared" si="19"/>
        <v>220582.88119853009</v>
      </c>
      <c r="M43" s="1115">
        <f t="shared" si="19"/>
        <v>227863.99799289712</v>
      </c>
      <c r="N43" s="1113">
        <f t="shared" si="10"/>
        <v>85681.324371745257</v>
      </c>
      <c r="O43" s="1114">
        <f t="shared" si="20"/>
        <v>166440.61240422819</v>
      </c>
      <c r="P43" s="1114">
        <f t="shared" si="20"/>
        <v>167470.43902140422</v>
      </c>
      <c r="Q43" s="1114">
        <f t="shared" si="20"/>
        <v>233273.43457524385</v>
      </c>
      <c r="R43" s="1114">
        <f t="shared" si="20"/>
        <v>203708.88419081731</v>
      </c>
      <c r="S43" s="1115">
        <f t="shared" si="20"/>
        <v>204092.03093613754</v>
      </c>
    </row>
    <row r="44" spans="1:19" s="1019" customFormat="1" ht="15" x14ac:dyDescent="0.25">
      <c r="A44" s="1034">
        <v>2042</v>
      </c>
      <c r="B44" s="1105">
        <f t="shared" si="6"/>
        <v>163848.29249390995</v>
      </c>
      <c r="C44" s="1108">
        <f t="shared" si="18"/>
        <v>168929.95658509378</v>
      </c>
      <c r="D44" s="1108">
        <f t="shared" si="18"/>
        <v>174317.04282958241</v>
      </c>
      <c r="E44" s="1108">
        <f t="shared" si="18"/>
        <v>319341.11248135986</v>
      </c>
      <c r="F44" s="1108">
        <f t="shared" si="18"/>
        <v>225390.29029644674</v>
      </c>
      <c r="G44" s="1109">
        <f t="shared" si="18"/>
        <v>254961.25839634566</v>
      </c>
      <c r="H44" s="1105">
        <f t="shared" si="8"/>
        <v>139788.33333333334</v>
      </c>
      <c r="I44" s="1108">
        <f t="shared" si="19"/>
        <v>179794.6129348207</v>
      </c>
      <c r="J44" s="1108">
        <f t="shared" si="19"/>
        <v>185181.69917930933</v>
      </c>
      <c r="K44" s="1108">
        <f t="shared" si="19"/>
        <v>254278.57370958291</v>
      </c>
      <c r="L44" s="1108">
        <f t="shared" si="19"/>
        <v>216245.52868935905</v>
      </c>
      <c r="M44" s="1109">
        <f t="shared" si="19"/>
        <v>222471.98766834365</v>
      </c>
      <c r="N44" s="1105">
        <f t="shared" si="10"/>
        <v>85709.960163232812</v>
      </c>
      <c r="O44" s="1108">
        <f t="shared" si="20"/>
        <v>166338.65795751283</v>
      </c>
      <c r="P44" s="1108">
        <f t="shared" si="20"/>
        <v>166902.50068644338</v>
      </c>
      <c r="Q44" s="1108">
        <f t="shared" si="20"/>
        <v>224944.65579677559</v>
      </c>
      <c r="R44" s="1108">
        <f t="shared" si="20"/>
        <v>199976.31828168529</v>
      </c>
      <c r="S44" s="1109">
        <f t="shared" si="20"/>
        <v>200686.98567887122</v>
      </c>
    </row>
    <row r="45" spans="1:19" s="1019" customFormat="1" ht="15" x14ac:dyDescent="0.25">
      <c r="A45" s="1034">
        <v>2043</v>
      </c>
      <c r="B45" s="1105">
        <f t="shared" si="6"/>
        <v>163848.29249390995</v>
      </c>
      <c r="C45" s="1108">
        <f t="shared" si="18"/>
        <v>169574.40347241572</v>
      </c>
      <c r="D45" s="1108">
        <f t="shared" si="18"/>
        <v>174682.31722792709</v>
      </c>
      <c r="E45" s="1108">
        <f t="shared" si="18"/>
        <v>294819.24757614965</v>
      </c>
      <c r="F45" s="1108">
        <f t="shared" si="18"/>
        <v>217562.06976106274</v>
      </c>
      <c r="G45" s="1109">
        <f t="shared" si="18"/>
        <v>244550.10166116385</v>
      </c>
      <c r="H45" s="1105">
        <f t="shared" si="8"/>
        <v>139788.33333333334</v>
      </c>
      <c r="I45" s="1108">
        <f t="shared" si="19"/>
        <v>180454.59255955936</v>
      </c>
      <c r="J45" s="1108">
        <f t="shared" si="19"/>
        <v>185562.50631507073</v>
      </c>
      <c r="K45" s="1108">
        <f t="shared" si="19"/>
        <v>240652.63178479709</v>
      </c>
      <c r="L45" s="1108">
        <f t="shared" si="19"/>
        <v>211635.67680502101</v>
      </c>
      <c r="M45" s="1109">
        <f t="shared" si="19"/>
        <v>216741.21782603642</v>
      </c>
      <c r="N45" s="1105">
        <f t="shared" si="10"/>
        <v>85743.635539164228</v>
      </c>
      <c r="O45" s="1108">
        <f t="shared" si="20"/>
        <v>166232.6117208644</v>
      </c>
      <c r="P45" s="1108">
        <f t="shared" si="20"/>
        <v>166311.76899193384</v>
      </c>
      <c r="Q45" s="1108">
        <f t="shared" si="20"/>
        <v>216281.61388160163</v>
      </c>
      <c r="R45" s="1108">
        <f t="shared" si="20"/>
        <v>196093.9513966919</v>
      </c>
      <c r="S45" s="1109">
        <f t="shared" si="20"/>
        <v>197145.28399950598</v>
      </c>
    </row>
    <row r="46" spans="1:19" s="1019" customFormat="1" ht="15" x14ac:dyDescent="0.25">
      <c r="A46" s="1034">
        <v>2044</v>
      </c>
      <c r="B46" s="1105">
        <f t="shared" si="6"/>
        <v>163848.29249390995</v>
      </c>
      <c r="C46" s="1108">
        <f t="shared" si="18"/>
        <v>170180.7555622193</v>
      </c>
      <c r="D46" s="1108">
        <f t="shared" si="18"/>
        <v>175025.99938257056</v>
      </c>
      <c r="E46" s="1108">
        <f t="shared" si="18"/>
        <v>271746.92878050165</v>
      </c>
      <c r="F46" s="1108">
        <f t="shared" si="18"/>
        <v>210196.59407260307</v>
      </c>
      <c r="G46" s="1109">
        <f t="shared" si="18"/>
        <v>234754.37331203092</v>
      </c>
      <c r="H46" s="1105">
        <f t="shared" si="8"/>
        <v>139788.33333333334</v>
      </c>
      <c r="I46" s="1108">
        <f t="shared" si="19"/>
        <v>181075.55920950478</v>
      </c>
      <c r="J46" s="1108">
        <f t="shared" si="19"/>
        <v>185920.803029856</v>
      </c>
      <c r="K46" s="1108">
        <f t="shared" si="19"/>
        <v>227832.15189083724</v>
      </c>
      <c r="L46" s="1108">
        <f t="shared" si="19"/>
        <v>207298.32429584995</v>
      </c>
      <c r="M46" s="1109">
        <f t="shared" si="19"/>
        <v>211349.20750148298</v>
      </c>
      <c r="N46" s="1105">
        <f t="shared" si="10"/>
        <v>85795.662549105444</v>
      </c>
      <c r="O46" s="1108">
        <f t="shared" si="20"/>
        <v>166130.65727414904</v>
      </c>
      <c r="P46" s="1108">
        <f t="shared" si="20"/>
        <v>165743.830656973</v>
      </c>
      <c r="Q46" s="1108">
        <f t="shared" si="20"/>
        <v>207952.83510313337</v>
      </c>
      <c r="R46" s="1108">
        <f t="shared" si="20"/>
        <v>192361.38548755989</v>
      </c>
      <c r="S46" s="1109">
        <f t="shared" si="20"/>
        <v>193740.23874223966</v>
      </c>
    </row>
    <row r="47" spans="1:19" s="1019" customFormat="1" ht="15" x14ac:dyDescent="0.25">
      <c r="A47" s="1040">
        <v>2045</v>
      </c>
      <c r="B47" s="1110">
        <f t="shared" si="6"/>
        <v>163848.29249390995</v>
      </c>
      <c r="C47" s="1111">
        <f t="shared" si="18"/>
        <v>170689.25858611095</v>
      </c>
      <c r="D47" s="1111">
        <f t="shared" si="18"/>
        <v>175314.22039777378</v>
      </c>
      <c r="E47" s="1111">
        <f t="shared" si="18"/>
        <v>252397.86728129917</v>
      </c>
      <c r="F47" s="1111">
        <f t="shared" si="18"/>
        <v>204019.70984483449</v>
      </c>
      <c r="G47" s="1112">
        <f t="shared" si="18"/>
        <v>226539.41442837499</v>
      </c>
      <c r="H47" s="1110">
        <f t="shared" si="8"/>
        <v>139788.33333333334</v>
      </c>
      <c r="I47" s="1111">
        <f t="shared" si="19"/>
        <v>181596.31839306001</v>
      </c>
      <c r="J47" s="1111">
        <f t="shared" si="19"/>
        <v>186221.2802047228</v>
      </c>
      <c r="K47" s="1111">
        <f t="shared" si="19"/>
        <v>217080.55574158911</v>
      </c>
      <c r="L47" s="1111">
        <f t="shared" si="19"/>
        <v>203660.90487619891</v>
      </c>
      <c r="M47" s="1112">
        <f t="shared" si="19"/>
        <v>206827.32392757028</v>
      </c>
      <c r="N47" s="1110">
        <f t="shared" si="10"/>
        <v>85840.06316262063</v>
      </c>
      <c r="O47" s="1111">
        <f t="shared" si="20"/>
        <v>166039.78969299857</v>
      </c>
      <c r="P47" s="1111">
        <f t="shared" si="20"/>
        <v>165237.65182512085</v>
      </c>
      <c r="Q47" s="1111">
        <f t="shared" si="20"/>
        <v>200529.75542471951</v>
      </c>
      <c r="R47" s="1111">
        <f t="shared" si="20"/>
        <v>189034.71120728628</v>
      </c>
      <c r="S47" s="1112">
        <f t="shared" si="20"/>
        <v>190705.46942904365</v>
      </c>
    </row>
    <row r="48" spans="1:19" s="1019" customFormat="1" ht="15" x14ac:dyDescent="0.25">
      <c r="A48" s="1034">
        <v>2046</v>
      </c>
      <c r="B48" s="1113">
        <f t="shared" si="6"/>
        <v>163848.29249390995</v>
      </c>
      <c r="C48" s="1114">
        <f t="shared" si="18"/>
        <v>171076.13992100823</v>
      </c>
      <c r="D48" s="1114">
        <f t="shared" si="18"/>
        <v>175533.50588058936</v>
      </c>
      <c r="E48" s="1114">
        <f t="shared" si="18"/>
        <v>237676.63576426532</v>
      </c>
      <c r="F48" s="1114">
        <f t="shared" si="18"/>
        <v>199320.18771169931</v>
      </c>
      <c r="G48" s="1115">
        <f t="shared" si="18"/>
        <v>220289.27606201553</v>
      </c>
      <c r="H48" s="1113">
        <f t="shared" si="8"/>
        <v>139788.33333333334</v>
      </c>
      <c r="I48" s="1114">
        <f t="shared" si="19"/>
        <v>181992.52450910618</v>
      </c>
      <c r="J48" s="1114">
        <f t="shared" si="19"/>
        <v>186449.89046868731</v>
      </c>
      <c r="K48" s="1114">
        <f t="shared" si="19"/>
        <v>208900.48271338266</v>
      </c>
      <c r="L48" s="1114">
        <f t="shared" si="19"/>
        <v>200893.46866729314</v>
      </c>
      <c r="M48" s="1115">
        <f t="shared" si="19"/>
        <v>203386.9661103508</v>
      </c>
      <c r="N48" s="1113">
        <f t="shared" si="10"/>
        <v>85889.743659015017</v>
      </c>
      <c r="O48" s="1114">
        <f t="shared" si="20"/>
        <v>165964.11272691976</v>
      </c>
      <c r="P48" s="1114">
        <f t="shared" si="20"/>
        <v>164816.09247685937</v>
      </c>
      <c r="Q48" s="1114">
        <f t="shared" si="20"/>
        <v>194347.61497472285</v>
      </c>
      <c r="R48" s="1114">
        <f t="shared" si="20"/>
        <v>186264.1673733237</v>
      </c>
      <c r="S48" s="1115">
        <f t="shared" si="20"/>
        <v>188178.03190441694</v>
      </c>
    </row>
    <row r="49" spans="1:19" s="1019" customFormat="1" ht="15" x14ac:dyDescent="0.25">
      <c r="A49" s="1034">
        <v>2047</v>
      </c>
      <c r="B49" s="1105">
        <f t="shared" si="6"/>
        <v>163848.29249390995</v>
      </c>
      <c r="C49" s="1108">
        <f t="shared" si="18"/>
        <v>171349.24060697792</v>
      </c>
      <c r="D49" s="1108">
        <f t="shared" si="18"/>
        <v>175688.30015567644</v>
      </c>
      <c r="E49" s="1108">
        <f t="shared" si="18"/>
        <v>227284.87461432978</v>
      </c>
      <c r="F49" s="1108">
        <f t="shared" si="18"/>
        <v>196002.7810484138</v>
      </c>
      <c r="G49" s="1109">
        <f t="shared" si="18"/>
        <v>215877.28478383319</v>
      </c>
      <c r="H49" s="1105">
        <f t="shared" si="8"/>
        <v>139788.33333333334</v>
      </c>
      <c r="I49" s="1108">
        <f t="shared" si="19"/>
        <v>182272.20758584686</v>
      </c>
      <c r="J49" s="1108">
        <f t="shared" si="19"/>
        <v>186611.26713454534</v>
      </c>
      <c r="K49" s="1108">
        <f t="shared" si="19"/>
        <v>203126.14481238625</v>
      </c>
      <c r="L49" s="1108">
        <f t="shared" si="19"/>
        <v>198939.92720934132</v>
      </c>
      <c r="M49" s="1109">
        <f t="shared" si="19"/>
        <v>200958.40728594188</v>
      </c>
      <c r="N49" s="1105">
        <f t="shared" si="10"/>
        <v>85958.37804353307</v>
      </c>
      <c r="O49" s="1108">
        <f t="shared" si="20"/>
        <v>165904.56620356638</v>
      </c>
      <c r="P49" s="1108">
        <f t="shared" si="20"/>
        <v>164484.38793217746</v>
      </c>
      <c r="Q49" s="1108">
        <f t="shared" si="20"/>
        <v>189483.18938059773</v>
      </c>
      <c r="R49" s="1108">
        <f t="shared" si="20"/>
        <v>184084.16120158098</v>
      </c>
      <c r="S49" s="1109">
        <f t="shared" si="20"/>
        <v>186189.31426175107</v>
      </c>
    </row>
    <row r="50" spans="1:19" s="1019" customFormat="1" ht="15" x14ac:dyDescent="0.25">
      <c r="A50" s="1034">
        <v>2048</v>
      </c>
      <c r="B50" s="1105">
        <f t="shared" si="6"/>
        <v>163848.29249390995</v>
      </c>
      <c r="C50" s="1108">
        <f t="shared" si="18"/>
        <v>171531.98658708335</v>
      </c>
      <c r="D50" s="1108">
        <f t="shared" si="18"/>
        <v>175791.88111672399</v>
      </c>
      <c r="E50" s="1108">
        <f t="shared" si="18"/>
        <v>220331.20267599847</v>
      </c>
      <c r="F50" s="1108">
        <f t="shared" si="18"/>
        <v>193782.93041003917</v>
      </c>
      <c r="G50" s="1109">
        <f t="shared" si="18"/>
        <v>212924.99022080342</v>
      </c>
      <c r="H50" s="1105">
        <f t="shared" si="8"/>
        <v>139788.33333333334</v>
      </c>
      <c r="I50" s="1108">
        <f t="shared" si="19"/>
        <v>182459.35818855002</v>
      </c>
      <c r="J50" s="1108">
        <f t="shared" si="19"/>
        <v>186719.25271819066</v>
      </c>
      <c r="K50" s="1108">
        <f t="shared" si="19"/>
        <v>199262.23273384036</v>
      </c>
      <c r="L50" s="1108">
        <f t="shared" si="19"/>
        <v>197632.7102496241</v>
      </c>
      <c r="M50" s="1109">
        <f t="shared" si="19"/>
        <v>199333.33131429265</v>
      </c>
      <c r="N50" s="1105">
        <f t="shared" si="10"/>
        <v>86021.298210097433</v>
      </c>
      <c r="O50" s="1108">
        <f t="shared" si="20"/>
        <v>165859.77140620857</v>
      </c>
      <c r="P50" s="1108">
        <f t="shared" si="20"/>
        <v>164234.85803479759</v>
      </c>
      <c r="Q50" s="1108">
        <f t="shared" si="20"/>
        <v>185823.84964957918</v>
      </c>
      <c r="R50" s="1108">
        <f t="shared" si="20"/>
        <v>182444.2176884643</v>
      </c>
      <c r="S50" s="1109">
        <f t="shared" si="20"/>
        <v>184693.27051665323</v>
      </c>
    </row>
    <row r="51" spans="1:19" s="1019" customFormat="1" ht="15" x14ac:dyDescent="0.25">
      <c r="A51" s="1034">
        <v>2049</v>
      </c>
      <c r="B51" s="1105">
        <f t="shared" si="6"/>
        <v>163848.29249390995</v>
      </c>
      <c r="C51" s="1108">
        <f t="shared" si="18"/>
        <v>171649.93676201231</v>
      </c>
      <c r="D51" s="1108">
        <f t="shared" si="18"/>
        <v>175858.73562409988</v>
      </c>
      <c r="E51" s="1108">
        <f t="shared" si="18"/>
        <v>215843.07756894248</v>
      </c>
      <c r="F51" s="1108">
        <f t="shared" si="18"/>
        <v>192350.16690431719</v>
      </c>
      <c r="G51" s="1109">
        <f t="shared" si="18"/>
        <v>211019.4836813421</v>
      </c>
      <c r="H51" s="1105">
        <f t="shared" si="8"/>
        <v>139788.33333333334</v>
      </c>
      <c r="I51" s="1108">
        <f t="shared" si="19"/>
        <v>182580.15124957473</v>
      </c>
      <c r="J51" s="1108">
        <f t="shared" si="19"/>
        <v>186788.9501116623</v>
      </c>
      <c r="K51" s="1108">
        <f t="shared" si="19"/>
        <v>196768.338721443</v>
      </c>
      <c r="L51" s="1108">
        <f t="shared" si="19"/>
        <v>196788.99008144427</v>
      </c>
      <c r="M51" s="1109">
        <f t="shared" si="19"/>
        <v>198284.45464396424</v>
      </c>
      <c r="N51" s="1105">
        <f t="shared" si="10"/>
        <v>86093.727674994632</v>
      </c>
      <c r="O51" s="1108">
        <f t="shared" si="20"/>
        <v>165827.2003215593</v>
      </c>
      <c r="P51" s="1108">
        <f t="shared" si="20"/>
        <v>164053.42045968899</v>
      </c>
      <c r="Q51" s="1108">
        <f t="shared" si="20"/>
        <v>183163.0794001373</v>
      </c>
      <c r="R51" s="1108">
        <f t="shared" si="20"/>
        <v>181251.78592994832</v>
      </c>
      <c r="S51" s="1109">
        <f t="shared" si="20"/>
        <v>183605.47080921478</v>
      </c>
    </row>
    <row r="52" spans="1:19" s="1019" customFormat="1" ht="15.75" thickBot="1" x14ac:dyDescent="0.3">
      <c r="A52" s="1047">
        <v>2050</v>
      </c>
      <c r="B52" s="1116">
        <f t="shared" si="6"/>
        <v>163848.29249390995</v>
      </c>
      <c r="C52" s="1117">
        <f t="shared" si="18"/>
        <v>171843.37959024837</v>
      </c>
      <c r="D52" s="1117">
        <f t="shared" si="18"/>
        <v>175968.37959024837</v>
      </c>
      <c r="E52" s="1117">
        <f t="shared" si="18"/>
        <v>208482.37959024837</v>
      </c>
      <c r="F52" s="1117">
        <f t="shared" si="18"/>
        <v>190000.37959024837</v>
      </c>
      <c r="G52" s="1118">
        <f t="shared" si="18"/>
        <v>207894.37959024837</v>
      </c>
      <c r="H52" s="1116">
        <f t="shared" si="8"/>
        <v>139788.33333333334</v>
      </c>
      <c r="I52" s="1117">
        <f t="shared" si="19"/>
        <v>182778.25652046548</v>
      </c>
      <c r="J52" s="1117">
        <f t="shared" si="19"/>
        <v>186903.25652046548</v>
      </c>
      <c r="K52" s="1117">
        <f t="shared" si="19"/>
        <v>192678.25652046551</v>
      </c>
      <c r="L52" s="1117">
        <f t="shared" si="19"/>
        <v>195405.25652046551</v>
      </c>
      <c r="M52" s="1118">
        <f t="shared" si="19"/>
        <v>196564.25652046551</v>
      </c>
      <c r="N52" s="1116">
        <f t="shared" si="10"/>
        <v>86177.543364322046</v>
      </c>
      <c r="O52" s="1117">
        <f t="shared" si="20"/>
        <v>165753.63739583959</v>
      </c>
      <c r="P52" s="1117">
        <f t="shared" si="20"/>
        <v>164048.29249390995</v>
      </c>
      <c r="Q52" s="1117">
        <f t="shared" si="20"/>
        <v>177153.63739583959</v>
      </c>
      <c r="R52" s="1117">
        <f t="shared" si="20"/>
        <v>178558.63739583959</v>
      </c>
      <c r="S52" s="1118">
        <f t="shared" si="20"/>
        <v>181148.63739583959</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topLeftCell="A7" zoomScaleNormal="100" workbookViewId="0">
      <selection activeCell="B47" sqref="B47"/>
    </sheetView>
  </sheetViews>
  <sheetFormatPr defaultColWidth="14.7109375" defaultRowHeight="12.75" x14ac:dyDescent="0.2"/>
  <cols>
    <col min="1" max="30" width="9.85546875" style="48" customWidth="1"/>
    <col min="31" max="16384" width="14.7109375" style="48"/>
  </cols>
  <sheetData>
    <row r="1" spans="1:30" s="86" customFormat="1" ht="18.75" x14ac:dyDescent="0.3">
      <c r="A1" s="1348" t="s">
        <v>235</v>
      </c>
      <c r="K1" s="1348" t="s">
        <v>236</v>
      </c>
      <c r="U1" s="1348" t="s">
        <v>155</v>
      </c>
    </row>
    <row r="2" spans="1:30" x14ac:dyDescent="0.2">
      <c r="A2" s="50" t="s">
        <v>9</v>
      </c>
      <c r="K2" s="50" t="s">
        <v>9</v>
      </c>
      <c r="U2" s="50" t="s">
        <v>9</v>
      </c>
    </row>
    <row r="3" spans="1:30" x14ac:dyDescent="0.2">
      <c r="A3" s="49" t="s">
        <v>237</v>
      </c>
      <c r="K3" s="49" t="s">
        <v>237</v>
      </c>
      <c r="U3" s="49" t="s">
        <v>238</v>
      </c>
    </row>
    <row r="4" spans="1:30" ht="13.5" thickBot="1" x14ac:dyDescent="0.25"/>
    <row r="5" spans="1:30" x14ac:dyDescent="0.2">
      <c r="A5" s="70"/>
      <c r="B5" s="1613" t="s">
        <v>10</v>
      </c>
      <c r="C5" s="1612"/>
      <c r="D5" s="1612"/>
      <c r="E5" s="1614"/>
      <c r="F5" s="1613" t="s">
        <v>11</v>
      </c>
      <c r="G5" s="1612"/>
      <c r="H5" s="1612"/>
      <c r="I5" s="1614"/>
      <c r="J5" s="71"/>
      <c r="K5" s="70"/>
      <c r="L5" s="1613" t="s">
        <v>10</v>
      </c>
      <c r="M5" s="1612"/>
      <c r="N5" s="1612"/>
      <c r="O5" s="1614"/>
      <c r="P5" s="1613" t="s">
        <v>11</v>
      </c>
      <c r="Q5" s="1612"/>
      <c r="R5" s="1612"/>
      <c r="S5" s="1614"/>
      <c r="T5" s="71">
        <v>1</v>
      </c>
      <c r="U5" s="70"/>
      <c r="V5" s="1612" t="s">
        <v>10</v>
      </c>
      <c r="W5" s="1612"/>
      <c r="X5" s="1612"/>
      <c r="Y5" s="1612"/>
      <c r="Z5" s="1613" t="s">
        <v>11</v>
      </c>
      <c r="AA5" s="1612"/>
      <c r="AB5" s="1614"/>
      <c r="AC5" s="1349"/>
    </row>
    <row r="6" spans="1:30" s="1142" customFormat="1" ht="45" customHeight="1" thickBot="1" x14ac:dyDescent="0.25">
      <c r="A6" s="1131" t="s">
        <v>12</v>
      </c>
      <c r="B6" s="1132" t="s">
        <v>13</v>
      </c>
      <c r="C6" s="1133" t="s">
        <v>356</v>
      </c>
      <c r="D6" s="1134" t="s">
        <v>15</v>
      </c>
      <c r="E6" s="1135" t="s">
        <v>355</v>
      </c>
      <c r="F6" s="1132" t="s">
        <v>13</v>
      </c>
      <c r="G6" s="1133" t="s">
        <v>356</v>
      </c>
      <c r="H6" s="1134" t="s">
        <v>15</v>
      </c>
      <c r="I6" s="1135" t="s">
        <v>355</v>
      </c>
      <c r="J6" s="1136" t="s">
        <v>357</v>
      </c>
      <c r="K6" s="1131" t="s">
        <v>12</v>
      </c>
      <c r="L6" s="1132" t="s">
        <v>13</v>
      </c>
      <c r="M6" s="1133" t="s">
        <v>356</v>
      </c>
      <c r="N6" s="1134" t="s">
        <v>15</v>
      </c>
      <c r="O6" s="1135" t="s">
        <v>355</v>
      </c>
      <c r="P6" s="1132" t="s">
        <v>13</v>
      </c>
      <c r="Q6" s="1133" t="s">
        <v>356</v>
      </c>
      <c r="R6" s="1134" t="s">
        <v>15</v>
      </c>
      <c r="S6" s="1135" t="s">
        <v>355</v>
      </c>
      <c r="T6" s="1136"/>
      <c r="U6" s="1131" t="s">
        <v>12</v>
      </c>
      <c r="V6" s="1137" t="s">
        <v>13</v>
      </c>
      <c r="W6" s="1138" t="s">
        <v>14</v>
      </c>
      <c r="X6" s="1137" t="s">
        <v>15</v>
      </c>
      <c r="Y6" s="1138" t="s">
        <v>16</v>
      </c>
      <c r="Z6" s="1139" t="s">
        <v>13</v>
      </c>
      <c r="AA6" s="1138" t="s">
        <v>14</v>
      </c>
      <c r="AB6" s="1140" t="s">
        <v>15</v>
      </c>
      <c r="AC6" s="1141" t="s">
        <v>16</v>
      </c>
    </row>
    <row r="7" spans="1:30" x14ac:dyDescent="0.2">
      <c r="A7" s="1350">
        <v>0</v>
      </c>
      <c r="B7" s="1351">
        <v>0</v>
      </c>
      <c r="C7" s="1352">
        <v>0</v>
      </c>
      <c r="D7" s="1353">
        <v>78.199399999999997</v>
      </c>
      <c r="E7" s="1354">
        <v>378.45699999999999</v>
      </c>
      <c r="F7" s="1355">
        <f t="shared" ref="F7:F48" si="0">IF(C$51=0,0,B7/C$51)</f>
        <v>0</v>
      </c>
      <c r="G7" s="1356">
        <f t="shared" ref="G7:G48" si="1">IF(E$51=0,0,C7/E$51)</f>
        <v>0</v>
      </c>
      <c r="H7" s="1357">
        <f t="shared" ref="H7:H48" si="2">IF(C$51=0,0,D7/C$51)</f>
        <v>5.6718335278556332E-4</v>
      </c>
      <c r="I7" s="1358">
        <f t="shared" ref="I7:I48" si="3">IF(E$51=0,0,E7/E$51)</f>
        <v>2.4017448920174025E-5</v>
      </c>
      <c r="J7" s="3">
        <f t="shared" ref="J7:J48" si="4">A7*1000/OPDAYS_Cls1</f>
        <v>0</v>
      </c>
      <c r="K7" s="1359">
        <v>0</v>
      </c>
      <c r="L7" s="1351">
        <v>455.41399999999999</v>
      </c>
      <c r="M7" s="1352">
        <v>1515.472</v>
      </c>
      <c r="N7" s="1353">
        <v>377.03719999999998</v>
      </c>
      <c r="O7" s="1354">
        <v>1452.3679999999999</v>
      </c>
      <c r="P7" s="1355">
        <f t="shared" ref="P7:P48" si="5">IF(M$51=0,0,L7/M$51)</f>
        <v>6.1482995906353421E-3</v>
      </c>
      <c r="Q7" s="1356">
        <f t="shared" ref="Q7:Q48" si="6">IF(O$51=0,0,M7/O$51)</f>
        <v>2.6576119620509795E-4</v>
      </c>
      <c r="R7" s="1357">
        <f t="shared" ref="R7:R48" si="7">IF(M$51=0,0,N7/M$51)</f>
        <v>5.0901765479636017E-3</v>
      </c>
      <c r="S7" s="1358">
        <f t="shared" ref="S7:S48" si="8">IF(O$51=0,0,O7/O$51)</f>
        <v>2.5469494455193214E-4</v>
      </c>
      <c r="T7" s="3">
        <f t="shared" ref="T7:T48" si="9">K7*1000/OPDAYS_Cls2</f>
        <v>0</v>
      </c>
      <c r="U7" s="1359">
        <v>0</v>
      </c>
      <c r="V7" s="1353">
        <v>1586.4960000000001</v>
      </c>
      <c r="W7" s="1352">
        <v>5113.2812697999998</v>
      </c>
      <c r="X7" s="1353">
        <v>3291.1450999999997</v>
      </c>
      <c r="Y7" s="1360">
        <v>11474.4704757</v>
      </c>
      <c r="Z7" s="1355">
        <f t="shared" ref="Z7:Z48" si="10">IF(W$51=0,0,V7/W$51)</f>
        <v>2.0457803284261861E-2</v>
      </c>
      <c r="AA7" s="1356">
        <f t="shared" ref="AA7:AA48" si="11">IF(Y$51=0,0,W7/Y$51)</f>
        <v>2.4186753268329482E-3</v>
      </c>
      <c r="AB7" s="1358">
        <f t="shared" ref="AB7:AB48" si="12">IF(W$51=0,0,X7/W$51)</f>
        <v>4.2439186128274083E-2</v>
      </c>
      <c r="AC7" s="1361">
        <f t="shared" ref="AC7:AC48" si="13">IF(Y$51=0,0,Y7/Y$51)</f>
        <v>5.4276338741549883E-3</v>
      </c>
      <c r="AD7" s="48">
        <f t="shared" ref="AD7:AD48" si="14">U7*1000/OPDAYS_Cls3</f>
        <v>0</v>
      </c>
    </row>
    <row r="8" spans="1:30" x14ac:dyDescent="0.2">
      <c r="A8" s="1362">
        <v>5</v>
      </c>
      <c r="B8" s="1363">
        <v>319.01490000000001</v>
      </c>
      <c r="C8" s="1364">
        <v>2848.6089999999999</v>
      </c>
      <c r="D8" s="1365">
        <v>550.78359999999998</v>
      </c>
      <c r="E8" s="1366">
        <v>4477.4870000000001</v>
      </c>
      <c r="F8" s="1367">
        <f t="shared" si="0"/>
        <v>2.3138277348745797E-3</v>
      </c>
      <c r="G8" s="1368">
        <f t="shared" si="1"/>
        <v>1.8077700016394996E-4</v>
      </c>
      <c r="H8" s="1369">
        <f t="shared" si="2"/>
        <v>3.9948553173976093E-3</v>
      </c>
      <c r="I8" s="1370">
        <f t="shared" si="3"/>
        <v>2.8414804142410695E-4</v>
      </c>
      <c r="J8" s="3">
        <f t="shared" si="4"/>
        <v>20</v>
      </c>
      <c r="K8" s="1371">
        <v>5</v>
      </c>
      <c r="L8" s="1363">
        <v>396.22390000000001</v>
      </c>
      <c r="M8" s="1364">
        <v>3067.0360000000001</v>
      </c>
      <c r="N8" s="1365">
        <v>503.51850000000002</v>
      </c>
      <c r="O8" s="1366">
        <v>3842.4180000000001</v>
      </c>
      <c r="P8" s="1367">
        <f t="shared" si="5"/>
        <v>5.3492058701970933E-3</v>
      </c>
      <c r="Q8" s="1368">
        <f t="shared" si="6"/>
        <v>5.3785167668165353E-4</v>
      </c>
      <c r="R8" s="1369">
        <f t="shared" si="7"/>
        <v>6.7977325849168492E-3</v>
      </c>
      <c r="S8" s="1370">
        <f t="shared" si="8"/>
        <v>6.7382677080144013E-4</v>
      </c>
      <c r="T8" s="3">
        <f t="shared" si="9"/>
        <v>20</v>
      </c>
      <c r="U8" s="1371">
        <v>5</v>
      </c>
      <c r="V8" s="1365">
        <v>3246.1117000000004</v>
      </c>
      <c r="W8" s="1364">
        <v>27329.557050900006</v>
      </c>
      <c r="X8" s="1365">
        <v>6181.638799999997</v>
      </c>
      <c r="Y8" s="1372">
        <v>50899.896887500028</v>
      </c>
      <c r="Z8" s="1367">
        <f t="shared" si="10"/>
        <v>4.1858482213217585E-2</v>
      </c>
      <c r="AA8" s="1368">
        <f t="shared" si="11"/>
        <v>1.292737908291729E-2</v>
      </c>
      <c r="AB8" s="1370">
        <f t="shared" si="12"/>
        <v>7.9711988271486636E-2</v>
      </c>
      <c r="AC8" s="1373">
        <f t="shared" si="13"/>
        <v>2.4076579840669084E-2</v>
      </c>
      <c r="AD8" s="48">
        <f t="shared" si="14"/>
        <v>20</v>
      </c>
    </row>
    <row r="9" spans="1:30" x14ac:dyDescent="0.2">
      <c r="A9" s="1362">
        <f t="shared" ref="A9:A40" si="15">+A8+5</f>
        <v>10</v>
      </c>
      <c r="B9" s="1363">
        <v>428.81830000000002</v>
      </c>
      <c r="C9" s="1364">
        <v>5192.9650000000001</v>
      </c>
      <c r="D9" s="1365">
        <v>729.59640000000002</v>
      </c>
      <c r="E9" s="1366">
        <v>8913.7189999999991</v>
      </c>
      <c r="F9" s="1367">
        <f t="shared" si="0"/>
        <v>3.1102361543669842E-3</v>
      </c>
      <c r="G9" s="1368">
        <f t="shared" si="1"/>
        <v>3.2955334854884837E-4</v>
      </c>
      <c r="H9" s="1369">
        <f t="shared" si="2"/>
        <v>5.2917916548244227E-3</v>
      </c>
      <c r="I9" s="1370">
        <f t="shared" si="3"/>
        <v>5.6567797866411427E-4</v>
      </c>
      <c r="J9" s="3">
        <f t="shared" si="4"/>
        <v>40</v>
      </c>
      <c r="K9" s="1371">
        <f t="shared" ref="K9:K40" si="16">+K8+5</f>
        <v>10</v>
      </c>
      <c r="L9" s="1363">
        <v>1010.35259999999</v>
      </c>
      <c r="M9" s="1364">
        <v>13143.563</v>
      </c>
      <c r="N9" s="1365">
        <v>1100.8408999999999</v>
      </c>
      <c r="O9" s="1366">
        <v>14427.4089999999</v>
      </c>
      <c r="P9" s="1367">
        <f t="shared" si="5"/>
        <v>1.3640227303019435E-2</v>
      </c>
      <c r="Q9" s="1368">
        <f t="shared" si="6"/>
        <v>2.3049248189851517E-3</v>
      </c>
      <c r="R9" s="1369">
        <f t="shared" si="7"/>
        <v>1.4861861196240436E-2</v>
      </c>
      <c r="S9" s="1370">
        <f t="shared" si="8"/>
        <v>2.5300668530861469E-3</v>
      </c>
      <c r="T9" s="3">
        <f t="shared" si="9"/>
        <v>40</v>
      </c>
      <c r="U9" s="1371">
        <f t="shared" ref="U9:U40" si="17">+U8+5</f>
        <v>10</v>
      </c>
      <c r="V9" s="1365">
        <v>4067.7950000000014</v>
      </c>
      <c r="W9" s="1364">
        <v>53340.16690020002</v>
      </c>
      <c r="X9" s="1365">
        <v>5884.1002999999992</v>
      </c>
      <c r="Y9" s="1372">
        <v>74684.951303599999</v>
      </c>
      <c r="Z9" s="1367">
        <f t="shared" si="10"/>
        <v>5.2454055926207187E-2</v>
      </c>
      <c r="AA9" s="1368">
        <f t="shared" si="11"/>
        <v>2.523087207673038E-2</v>
      </c>
      <c r="AB9" s="1370">
        <f t="shared" si="12"/>
        <v>7.5875241060970947E-2</v>
      </c>
      <c r="AC9" s="1373">
        <f t="shared" si="13"/>
        <v>3.5327344511756738E-2</v>
      </c>
      <c r="AD9" s="48">
        <f t="shared" si="14"/>
        <v>40</v>
      </c>
    </row>
    <row r="10" spans="1:30" x14ac:dyDescent="0.2">
      <c r="A10" s="1362">
        <f t="shared" si="15"/>
        <v>15</v>
      </c>
      <c r="B10" s="1363">
        <v>347.7167</v>
      </c>
      <c r="C10" s="1364">
        <v>6102.7879999999996</v>
      </c>
      <c r="D10" s="1365">
        <v>428.76530000000002</v>
      </c>
      <c r="E10" s="1366">
        <v>7644.759</v>
      </c>
      <c r="F10" s="1367">
        <f t="shared" si="0"/>
        <v>2.5220030297615059E-3</v>
      </c>
      <c r="G10" s="1368">
        <f t="shared" si="1"/>
        <v>3.8729208089862522E-4</v>
      </c>
      <c r="H10" s="1369">
        <f t="shared" si="2"/>
        <v>3.109851743262837E-3</v>
      </c>
      <c r="I10" s="1370">
        <f t="shared" si="3"/>
        <v>4.851478735749125E-4</v>
      </c>
      <c r="J10" s="3">
        <f t="shared" si="4"/>
        <v>60</v>
      </c>
      <c r="K10" s="1371">
        <f t="shared" si="16"/>
        <v>15</v>
      </c>
      <c r="L10" s="1363">
        <v>1068.2598</v>
      </c>
      <c r="M10" s="1364">
        <v>18413.037999999899</v>
      </c>
      <c r="N10" s="1365">
        <v>1429.8081</v>
      </c>
      <c r="O10" s="1366">
        <v>26597.382000000001</v>
      </c>
      <c r="P10" s="1367">
        <f t="shared" si="5"/>
        <v>1.4422001280224571E-2</v>
      </c>
      <c r="Q10" s="1368">
        <f t="shared" si="6"/>
        <v>3.2290078633256817E-3</v>
      </c>
      <c r="R10" s="1369">
        <f t="shared" si="7"/>
        <v>1.9303070515875879E-2</v>
      </c>
      <c r="S10" s="1370">
        <f t="shared" si="8"/>
        <v>4.6642577733167889E-3</v>
      </c>
      <c r="T10" s="3">
        <f t="shared" si="9"/>
        <v>60</v>
      </c>
      <c r="U10" s="1371">
        <f t="shared" si="17"/>
        <v>15</v>
      </c>
      <c r="V10" s="1365">
        <v>3887.7840999999994</v>
      </c>
      <c r="W10" s="1364">
        <v>71520.6606531</v>
      </c>
      <c r="X10" s="1365">
        <v>5832.7905999999975</v>
      </c>
      <c r="Y10" s="1372">
        <v>105671.20272490001</v>
      </c>
      <c r="Z10" s="1367">
        <f t="shared" si="10"/>
        <v>5.0132822477636889E-2</v>
      </c>
      <c r="AA10" s="1368">
        <f t="shared" si="11"/>
        <v>3.3830577305052324E-2</v>
      </c>
      <c r="AB10" s="1370">
        <f t="shared" si="12"/>
        <v>7.5213604505206214E-2</v>
      </c>
      <c r="AC10" s="1373">
        <f t="shared" si="13"/>
        <v>4.998440674425781E-2</v>
      </c>
      <c r="AD10" s="48">
        <f t="shared" si="14"/>
        <v>60</v>
      </c>
    </row>
    <row r="11" spans="1:30" x14ac:dyDescent="0.2">
      <c r="A11" s="1362">
        <f>+A10+5</f>
        <v>20</v>
      </c>
      <c r="B11" s="1363">
        <v>357.4427</v>
      </c>
      <c r="C11" s="1364">
        <v>7912.5459999999903</v>
      </c>
      <c r="D11" s="1365">
        <v>1360.1478999999999</v>
      </c>
      <c r="E11" s="1366">
        <v>31123.967000000001</v>
      </c>
      <c r="F11" s="1367">
        <f t="shared" si="0"/>
        <v>2.5925460938923351E-3</v>
      </c>
      <c r="G11" s="1368">
        <f t="shared" si="1"/>
        <v>5.0214203828579491E-4</v>
      </c>
      <c r="H11" s="1369">
        <f t="shared" si="2"/>
        <v>9.865206717778437E-3</v>
      </c>
      <c r="I11" s="1370">
        <f t="shared" si="3"/>
        <v>1.9751736329772789E-3</v>
      </c>
      <c r="J11" s="3">
        <f t="shared" si="4"/>
        <v>80</v>
      </c>
      <c r="K11" s="1371">
        <f>+K10+5</f>
        <v>20</v>
      </c>
      <c r="L11" s="1363">
        <v>1930.7424000000001</v>
      </c>
      <c r="M11" s="1364">
        <v>44967.369999999901</v>
      </c>
      <c r="N11" s="1365">
        <v>880.51700000000005</v>
      </c>
      <c r="O11" s="1366">
        <v>20791.761999999999</v>
      </c>
      <c r="P11" s="1367">
        <f t="shared" si="5"/>
        <v>2.6065915205817781E-2</v>
      </c>
      <c r="Q11" s="1368">
        <f t="shared" si="6"/>
        <v>7.88571616063986E-3</v>
      </c>
      <c r="R11" s="1369">
        <f t="shared" si="7"/>
        <v>1.1887386664984959E-2</v>
      </c>
      <c r="S11" s="1370">
        <f t="shared" si="8"/>
        <v>3.6461535022301299E-3</v>
      </c>
      <c r="T11" s="3">
        <f t="shared" si="9"/>
        <v>80</v>
      </c>
      <c r="U11" s="1371">
        <f>+U10+5</f>
        <v>20</v>
      </c>
      <c r="V11" s="1365">
        <v>3031.5534000000007</v>
      </c>
      <c r="W11" s="1364">
        <v>70481.949212300009</v>
      </c>
      <c r="X11" s="1365">
        <v>6351.5653000000002</v>
      </c>
      <c r="Y11" s="1372">
        <v>145675.2032369001</v>
      </c>
      <c r="Z11" s="1367">
        <f t="shared" si="10"/>
        <v>3.9091761405597752E-2</v>
      </c>
      <c r="AA11" s="1368">
        <f t="shared" si="11"/>
        <v>3.3339247843401115E-2</v>
      </c>
      <c r="AB11" s="1370">
        <f t="shared" si="12"/>
        <v>8.1903183780194622E-2</v>
      </c>
      <c r="AC11" s="1373">
        <f t="shared" si="13"/>
        <v>6.890702881561743E-2</v>
      </c>
      <c r="AD11" s="48">
        <f t="shared" si="14"/>
        <v>80</v>
      </c>
    </row>
    <row r="12" spans="1:30" x14ac:dyDescent="0.2">
      <c r="A12" s="1362">
        <f t="shared" si="15"/>
        <v>25</v>
      </c>
      <c r="B12" s="1363">
        <v>74.308300000000003</v>
      </c>
      <c r="C12" s="1364">
        <v>1989.5329999999999</v>
      </c>
      <c r="D12" s="1365">
        <v>715.27779999999996</v>
      </c>
      <c r="E12" s="1366">
        <v>19433.701000000001</v>
      </c>
      <c r="F12" s="1367">
        <f t="shared" si="0"/>
        <v>5.3896105000544089E-4</v>
      </c>
      <c r="G12" s="1368">
        <f t="shared" si="1"/>
        <v>1.2625874855664074E-4</v>
      </c>
      <c r="H12" s="1369">
        <f t="shared" si="2"/>
        <v>5.1879382805632979E-3</v>
      </c>
      <c r="I12" s="1370">
        <f t="shared" si="3"/>
        <v>1.2332918167650088E-3</v>
      </c>
      <c r="J12" s="3">
        <f t="shared" si="4"/>
        <v>100</v>
      </c>
      <c r="K12" s="1371">
        <f t="shared" si="16"/>
        <v>25</v>
      </c>
      <c r="L12" s="1363">
        <v>1459.87569999999</v>
      </c>
      <c r="M12" s="1364">
        <v>40540.396000000001</v>
      </c>
      <c r="N12" s="1365">
        <v>1127.5441000000001</v>
      </c>
      <c r="O12" s="1366">
        <v>31585.745999999901</v>
      </c>
      <c r="P12" s="1367">
        <f t="shared" si="5"/>
        <v>1.9708997019609462E-2</v>
      </c>
      <c r="Q12" s="1368">
        <f t="shared" si="6"/>
        <v>7.1093785537366368E-3</v>
      </c>
      <c r="R12" s="1369">
        <f t="shared" si="7"/>
        <v>1.5222366744222391E-2</v>
      </c>
      <c r="S12" s="1370">
        <f t="shared" si="8"/>
        <v>5.5390437038693964E-3</v>
      </c>
      <c r="T12" s="3">
        <f t="shared" si="9"/>
        <v>100</v>
      </c>
      <c r="U12" s="1371">
        <f t="shared" si="17"/>
        <v>25</v>
      </c>
      <c r="V12" s="1365">
        <v>4000.4311999999991</v>
      </c>
      <c r="W12" s="1364">
        <v>111892.51392849999</v>
      </c>
      <c r="X12" s="1365">
        <v>6327.574499999997</v>
      </c>
      <c r="Y12" s="1372">
        <v>178753.6499543</v>
      </c>
      <c r="Z12" s="1367">
        <f t="shared" si="10"/>
        <v>5.1585402384767179E-2</v>
      </c>
      <c r="AA12" s="1368">
        <f t="shared" si="11"/>
        <v>5.2927200444570957E-2</v>
      </c>
      <c r="AB12" s="1370">
        <f t="shared" si="12"/>
        <v>8.1593823361364615E-2</v>
      </c>
      <c r="AC12" s="1373">
        <f t="shared" si="13"/>
        <v>8.45537375929859E-2</v>
      </c>
      <c r="AD12" s="48">
        <f t="shared" si="14"/>
        <v>100</v>
      </c>
    </row>
    <row r="13" spans="1:30" x14ac:dyDescent="0.2">
      <c r="A13" s="1362">
        <f t="shared" si="15"/>
        <v>30</v>
      </c>
      <c r="B13" s="1363">
        <v>90.285299999999907</v>
      </c>
      <c r="C13" s="1364">
        <v>3093.1619999999998</v>
      </c>
      <c r="D13" s="1365">
        <v>778.28279999999995</v>
      </c>
      <c r="E13" s="1366">
        <v>25259.602999999999</v>
      </c>
      <c r="F13" s="1367">
        <f t="shared" si="0"/>
        <v>6.5484286530651599E-4</v>
      </c>
      <c r="G13" s="1368">
        <f t="shared" si="1"/>
        <v>1.9629670038293209E-4</v>
      </c>
      <c r="H13" s="1369">
        <f t="shared" si="2"/>
        <v>5.6449160469177005E-3</v>
      </c>
      <c r="I13" s="1370">
        <f t="shared" si="3"/>
        <v>1.6030122967638982E-3</v>
      </c>
      <c r="J13" s="3">
        <f t="shared" si="4"/>
        <v>120</v>
      </c>
      <c r="K13" s="1371">
        <f t="shared" si="16"/>
        <v>30</v>
      </c>
      <c r="L13" s="1363">
        <v>1766.5920999999901</v>
      </c>
      <c r="M13" s="1364">
        <v>57401.540999999997</v>
      </c>
      <c r="N13" s="1365">
        <v>1424.3596</v>
      </c>
      <c r="O13" s="1366">
        <v>46454.703999999998</v>
      </c>
      <c r="P13" s="1367">
        <f t="shared" si="5"/>
        <v>2.3849810250123116E-2</v>
      </c>
      <c r="Q13" s="1368">
        <f t="shared" si="6"/>
        <v>1.0066238241403321E-2</v>
      </c>
      <c r="R13" s="1369">
        <f t="shared" si="7"/>
        <v>1.9229513246403318E-2</v>
      </c>
      <c r="S13" s="1370">
        <f t="shared" si="8"/>
        <v>8.1465429281397141E-3</v>
      </c>
      <c r="T13" s="3">
        <f t="shared" si="9"/>
        <v>120</v>
      </c>
      <c r="U13" s="1371">
        <f t="shared" si="17"/>
        <v>30</v>
      </c>
      <c r="V13" s="1365">
        <v>2433.5399000000002</v>
      </c>
      <c r="W13" s="1364">
        <v>78093.81746060001</v>
      </c>
      <c r="X13" s="1365">
        <v>4607.3185999999987</v>
      </c>
      <c r="Y13" s="1372">
        <v>147900.50045819997</v>
      </c>
      <c r="Z13" s="1367">
        <f t="shared" si="10"/>
        <v>3.138040093300095E-2</v>
      </c>
      <c r="AA13" s="1368">
        <f t="shared" si="11"/>
        <v>3.6939800395047954E-2</v>
      </c>
      <c r="AB13" s="1370">
        <f t="shared" si="12"/>
        <v>5.9411191447517497E-2</v>
      </c>
      <c r="AC13" s="1373">
        <f t="shared" si="13"/>
        <v>6.9959634999403303E-2</v>
      </c>
      <c r="AD13" s="48">
        <f t="shared" si="14"/>
        <v>120</v>
      </c>
    </row>
    <row r="14" spans="1:30" x14ac:dyDescent="0.2">
      <c r="A14" s="1362">
        <f t="shared" si="15"/>
        <v>35</v>
      </c>
      <c r="B14" s="1363">
        <v>162.02449999999999</v>
      </c>
      <c r="C14" s="1364">
        <v>5983.57</v>
      </c>
      <c r="D14" s="1365">
        <v>432.79520000000002</v>
      </c>
      <c r="E14" s="1366">
        <v>16668.141</v>
      </c>
      <c r="F14" s="1367">
        <f t="shared" si="0"/>
        <v>1.1751701310164081E-3</v>
      </c>
      <c r="G14" s="1368">
        <f t="shared" si="1"/>
        <v>3.7972632778700272E-4</v>
      </c>
      <c r="H14" s="1369">
        <f t="shared" si="2"/>
        <v>3.1390807679534428E-3</v>
      </c>
      <c r="I14" s="1370">
        <f t="shared" si="3"/>
        <v>1.0577852307177788E-3</v>
      </c>
      <c r="J14" s="3">
        <f t="shared" si="4"/>
        <v>140</v>
      </c>
      <c r="K14" s="1371">
        <f t="shared" si="16"/>
        <v>35</v>
      </c>
      <c r="L14" s="1363">
        <v>1483.3704</v>
      </c>
      <c r="M14" s="1364">
        <v>56498.048999999999</v>
      </c>
      <c r="N14" s="1365">
        <v>1532.8508999999999</v>
      </c>
      <c r="O14" s="1366">
        <v>58347.328999999998</v>
      </c>
      <c r="P14" s="1367">
        <f t="shared" si="5"/>
        <v>2.0026186333930412E-2</v>
      </c>
      <c r="Q14" s="1368">
        <f t="shared" si="6"/>
        <v>9.9077970991837769E-3</v>
      </c>
      <c r="R14" s="1369">
        <f t="shared" si="7"/>
        <v>2.0694195964496075E-2</v>
      </c>
      <c r="S14" s="1370">
        <f t="shared" si="8"/>
        <v>1.023209663419212E-2</v>
      </c>
      <c r="T14" s="3">
        <f t="shared" si="9"/>
        <v>140</v>
      </c>
      <c r="U14" s="1371">
        <f t="shared" si="17"/>
        <v>35</v>
      </c>
      <c r="V14" s="1365">
        <v>1507.7938000000006</v>
      </c>
      <c r="W14" s="1364">
        <v>57747.626754200006</v>
      </c>
      <c r="X14" s="1365">
        <v>2574.3629999999994</v>
      </c>
      <c r="Y14" s="1372">
        <v>98202.747962299982</v>
      </c>
      <c r="Z14" s="1367">
        <f t="shared" si="10"/>
        <v>1.9442941522468182E-2</v>
      </c>
      <c r="AA14" s="1368">
        <f t="shared" si="11"/>
        <v>2.731568099695109E-2</v>
      </c>
      <c r="AB14" s="1370">
        <f t="shared" si="12"/>
        <v>3.3196309247727193E-2</v>
      </c>
      <c r="AC14" s="1373">
        <f t="shared" si="13"/>
        <v>4.645169138776907E-2</v>
      </c>
      <c r="AD14" s="48">
        <f t="shared" si="14"/>
        <v>140</v>
      </c>
    </row>
    <row r="15" spans="1:30" x14ac:dyDescent="0.2">
      <c r="A15" s="1362">
        <f t="shared" si="15"/>
        <v>40</v>
      </c>
      <c r="B15" s="1363">
        <v>395.316699999999</v>
      </c>
      <c r="C15" s="1364">
        <v>17290.057999999899</v>
      </c>
      <c r="D15" s="1365">
        <v>318.625</v>
      </c>
      <c r="E15" s="1366">
        <v>14274.369999999901</v>
      </c>
      <c r="F15" s="1367">
        <f t="shared" si="0"/>
        <v>2.8672477195237321E-3</v>
      </c>
      <c r="G15" s="1368">
        <f t="shared" si="1"/>
        <v>1.0972530164373862E-3</v>
      </c>
      <c r="H15" s="1369">
        <f t="shared" si="2"/>
        <v>2.3109997746952036E-3</v>
      </c>
      <c r="I15" s="1370">
        <f t="shared" si="3"/>
        <v>9.0587293230845814E-4</v>
      </c>
      <c r="J15" s="3">
        <f t="shared" si="4"/>
        <v>160</v>
      </c>
      <c r="K15" s="1371">
        <f t="shared" si="16"/>
        <v>40</v>
      </c>
      <c r="L15" s="1363">
        <v>1384.4818</v>
      </c>
      <c r="M15" s="1364">
        <v>58570.233</v>
      </c>
      <c r="N15" s="1365">
        <v>527.10400000000004</v>
      </c>
      <c r="O15" s="1366">
        <v>22903.161</v>
      </c>
      <c r="P15" s="1367">
        <f t="shared" si="5"/>
        <v>1.8691144506277985E-2</v>
      </c>
      <c r="Q15" s="1368">
        <f t="shared" si="6"/>
        <v>1.0271186260182506E-2</v>
      </c>
      <c r="R15" s="1369">
        <f t="shared" si="7"/>
        <v>7.1161477412250212E-3</v>
      </c>
      <c r="S15" s="1370">
        <f t="shared" si="8"/>
        <v>4.0164196133204355E-3</v>
      </c>
      <c r="T15" s="3">
        <f t="shared" si="9"/>
        <v>160</v>
      </c>
      <c r="U15" s="1371">
        <f t="shared" si="17"/>
        <v>40</v>
      </c>
      <c r="V15" s="1365">
        <v>1575.2067000000002</v>
      </c>
      <c r="W15" s="1364">
        <v>67740.184828900005</v>
      </c>
      <c r="X15" s="1365">
        <v>1436.6661000000004</v>
      </c>
      <c r="Y15" s="1372">
        <v>61209.360521200011</v>
      </c>
      <c r="Z15" s="1367">
        <f t="shared" si="10"/>
        <v>2.0312228206469659E-2</v>
      </c>
      <c r="AA15" s="1368">
        <f t="shared" si="11"/>
        <v>3.2042343269564066E-2</v>
      </c>
      <c r="AB15" s="1370">
        <f t="shared" si="12"/>
        <v>1.8525752639129051E-2</v>
      </c>
      <c r="AC15" s="1373">
        <f t="shared" si="13"/>
        <v>2.8953144224283956E-2</v>
      </c>
      <c r="AD15" s="48">
        <f t="shared" si="14"/>
        <v>160</v>
      </c>
    </row>
    <row r="16" spans="1:30" x14ac:dyDescent="0.2">
      <c r="A16" s="1362">
        <f t="shared" si="15"/>
        <v>45</v>
      </c>
      <c r="B16" s="1363">
        <v>192.0582</v>
      </c>
      <c r="C16" s="1364">
        <v>9002.7430000000004</v>
      </c>
      <c r="D16" s="1365">
        <v>1004.6699</v>
      </c>
      <c r="E16" s="1366">
        <v>48855.101999999897</v>
      </c>
      <c r="F16" s="1367">
        <f t="shared" si="0"/>
        <v>1.3930057494809459E-3</v>
      </c>
      <c r="G16" s="1368">
        <f t="shared" si="1"/>
        <v>5.7132757524356605E-4</v>
      </c>
      <c r="H16" s="1369">
        <f t="shared" si="2"/>
        <v>7.2869106709864346E-3</v>
      </c>
      <c r="I16" s="1370">
        <f t="shared" si="3"/>
        <v>3.1004180574672668E-3</v>
      </c>
      <c r="J16" s="3">
        <f t="shared" si="4"/>
        <v>180</v>
      </c>
      <c r="K16" s="1371">
        <f t="shared" si="16"/>
        <v>45</v>
      </c>
      <c r="L16" s="1363">
        <v>2437.8386</v>
      </c>
      <c r="M16" s="1364">
        <v>117824.859999999</v>
      </c>
      <c r="N16" s="1365">
        <v>1195.047</v>
      </c>
      <c r="O16" s="1366">
        <v>58122.951999999997</v>
      </c>
      <c r="P16" s="1367">
        <f t="shared" si="5"/>
        <v>3.2911948395119683E-2</v>
      </c>
      <c r="Q16" s="1368">
        <f t="shared" si="6"/>
        <v>2.0662391476911436E-2</v>
      </c>
      <c r="R16" s="1369">
        <f t="shared" si="7"/>
        <v>1.6133687108630817E-2</v>
      </c>
      <c r="S16" s="1370">
        <f t="shared" si="8"/>
        <v>1.0192748695120392E-2</v>
      </c>
      <c r="T16" s="3">
        <f t="shared" si="9"/>
        <v>180</v>
      </c>
      <c r="U16" s="1371">
        <f t="shared" si="17"/>
        <v>45</v>
      </c>
      <c r="V16" s="1365">
        <v>1427.0545999999999</v>
      </c>
      <c r="W16" s="1364">
        <v>68973.062843199994</v>
      </c>
      <c r="X16" s="1365">
        <v>836.4615</v>
      </c>
      <c r="Y16" s="1372">
        <v>40642.646009800003</v>
      </c>
      <c r="Z16" s="1367">
        <f t="shared" si="10"/>
        <v>1.8401812726096374E-2</v>
      </c>
      <c r="AA16" s="1368">
        <f t="shared" si="11"/>
        <v>3.2625517062837291E-2</v>
      </c>
      <c r="AB16" s="1370">
        <f t="shared" si="12"/>
        <v>1.0786138018538087E-2</v>
      </c>
      <c r="AC16" s="1373">
        <f t="shared" si="13"/>
        <v>1.9224713043206752E-2</v>
      </c>
      <c r="AD16" s="48">
        <f t="shared" si="14"/>
        <v>180</v>
      </c>
    </row>
    <row r="17" spans="1:30" x14ac:dyDescent="0.2">
      <c r="A17" s="1362">
        <f t="shared" si="15"/>
        <v>50</v>
      </c>
      <c r="B17" s="1363">
        <v>294.42559999999997</v>
      </c>
      <c r="C17" s="1364">
        <v>15720.736999999999</v>
      </c>
      <c r="D17" s="1365">
        <v>653.85789999999997</v>
      </c>
      <c r="E17" s="1366">
        <v>34463.65</v>
      </c>
      <c r="F17" s="1367">
        <f t="shared" si="0"/>
        <v>2.1354805657575523E-3</v>
      </c>
      <c r="G17" s="1368">
        <f t="shared" si="1"/>
        <v>9.9766155173504475E-4</v>
      </c>
      <c r="H17" s="1369">
        <f t="shared" si="2"/>
        <v>4.7424573074387726E-3</v>
      </c>
      <c r="I17" s="1370">
        <f t="shared" si="3"/>
        <v>2.1871149258112696E-3</v>
      </c>
      <c r="J17" s="3">
        <f t="shared" si="4"/>
        <v>200</v>
      </c>
      <c r="K17" s="1371">
        <f t="shared" si="16"/>
        <v>50</v>
      </c>
      <c r="L17" s="1363">
        <v>1523.0124000000001</v>
      </c>
      <c r="M17" s="1364">
        <v>80162.679999999993</v>
      </c>
      <c r="N17" s="1365">
        <v>1680.5527</v>
      </c>
      <c r="O17" s="1366">
        <v>87541.116999999998</v>
      </c>
      <c r="P17" s="1367">
        <f t="shared" si="5"/>
        <v>2.0561371665018095E-2</v>
      </c>
      <c r="Q17" s="1368">
        <f t="shared" si="6"/>
        <v>1.4057752124622876E-2</v>
      </c>
      <c r="R17" s="1369">
        <f t="shared" si="7"/>
        <v>2.2688238564144095E-2</v>
      </c>
      <c r="S17" s="1370">
        <f t="shared" si="8"/>
        <v>1.5351673914826823E-2</v>
      </c>
      <c r="T17" s="3">
        <f t="shared" si="9"/>
        <v>200</v>
      </c>
      <c r="U17" s="1371">
        <f t="shared" si="17"/>
        <v>50</v>
      </c>
      <c r="V17" s="1365">
        <v>571.39710000000002</v>
      </c>
      <c r="W17" s="1364">
        <v>30177.891872900003</v>
      </c>
      <c r="X17" s="1365">
        <v>528.73239999999998</v>
      </c>
      <c r="Y17" s="1372">
        <v>27443.2739545</v>
      </c>
      <c r="Z17" s="1367">
        <f t="shared" si="10"/>
        <v>7.3681430454269675E-3</v>
      </c>
      <c r="AA17" s="1368">
        <f t="shared" si="11"/>
        <v>1.4274693418473091E-2</v>
      </c>
      <c r="AB17" s="1370">
        <f t="shared" si="12"/>
        <v>6.8179834233528819E-3</v>
      </c>
      <c r="AC17" s="1373">
        <f t="shared" si="13"/>
        <v>1.2981169252960469E-2</v>
      </c>
      <c r="AD17" s="48">
        <f t="shared" si="14"/>
        <v>200</v>
      </c>
    </row>
    <row r="18" spans="1:30" x14ac:dyDescent="0.2">
      <c r="A18" s="1362">
        <f t="shared" si="15"/>
        <v>55</v>
      </c>
      <c r="B18" s="1363">
        <v>397.8836</v>
      </c>
      <c r="C18" s="1364">
        <v>23379.037999999899</v>
      </c>
      <c r="D18" s="1365">
        <v>1575.65839999999</v>
      </c>
      <c r="E18" s="1366">
        <v>93079.861999999994</v>
      </c>
      <c r="F18" s="1367">
        <f t="shared" si="0"/>
        <v>2.885865547131947E-3</v>
      </c>
      <c r="G18" s="1368">
        <f t="shared" si="1"/>
        <v>1.483668820943476E-3</v>
      </c>
      <c r="H18" s="1369">
        <f t="shared" si="2"/>
        <v>1.1428312930236429E-2</v>
      </c>
      <c r="I18" s="1370">
        <f t="shared" si="3"/>
        <v>5.9069876659220127E-3</v>
      </c>
      <c r="J18" s="3">
        <f t="shared" si="4"/>
        <v>220</v>
      </c>
      <c r="K18" s="1371">
        <f t="shared" si="16"/>
        <v>55</v>
      </c>
      <c r="L18" s="1363">
        <v>1458.675</v>
      </c>
      <c r="M18" s="1364">
        <v>85329.2959999999</v>
      </c>
      <c r="N18" s="1365">
        <v>1213.1447000000001</v>
      </c>
      <c r="O18" s="1366">
        <v>70266.301999999996</v>
      </c>
      <c r="P18" s="1367">
        <f t="shared" si="5"/>
        <v>1.9692787014386929E-2</v>
      </c>
      <c r="Q18" s="1368">
        <f t="shared" si="6"/>
        <v>1.49637972699587E-2</v>
      </c>
      <c r="R18" s="1369">
        <f t="shared" si="7"/>
        <v>1.6378014427293485E-2</v>
      </c>
      <c r="S18" s="1370">
        <f t="shared" si="8"/>
        <v>1.232227086506954E-2</v>
      </c>
      <c r="T18" s="3">
        <f t="shared" si="9"/>
        <v>220</v>
      </c>
      <c r="U18" s="1371">
        <f t="shared" si="17"/>
        <v>55</v>
      </c>
      <c r="V18" s="1365">
        <v>369.18089999999995</v>
      </c>
      <c r="W18" s="1364">
        <v>21321.6819062</v>
      </c>
      <c r="X18" s="1365">
        <v>809.79319999999996</v>
      </c>
      <c r="Y18" s="1372">
        <v>47941.236421100002</v>
      </c>
      <c r="Z18" s="1367">
        <f t="shared" si="10"/>
        <v>4.7605731300342062E-3</v>
      </c>
      <c r="AA18" s="1368">
        <f t="shared" si="11"/>
        <v>1.0085544532371002E-2</v>
      </c>
      <c r="AB18" s="1370">
        <f t="shared" si="12"/>
        <v>1.0442251342917297E-2</v>
      </c>
      <c r="AC18" s="1373">
        <f t="shared" si="13"/>
        <v>2.2677079462541497E-2</v>
      </c>
      <c r="AD18" s="48">
        <f t="shared" si="14"/>
        <v>220</v>
      </c>
    </row>
    <row r="19" spans="1:30" x14ac:dyDescent="0.2">
      <c r="A19" s="1362">
        <f t="shared" si="15"/>
        <v>60</v>
      </c>
      <c r="B19" s="1363">
        <v>230.6739</v>
      </c>
      <c r="C19" s="1364">
        <v>14543.975</v>
      </c>
      <c r="D19" s="1365">
        <v>1966.33069999999</v>
      </c>
      <c r="E19" s="1366">
        <v>123285.726</v>
      </c>
      <c r="F19" s="1367">
        <f t="shared" si="0"/>
        <v>1.6730869546584981E-3</v>
      </c>
      <c r="G19" s="1368">
        <f t="shared" si="1"/>
        <v>9.2298247002641789E-4</v>
      </c>
      <c r="H19" s="1369">
        <f t="shared" si="2"/>
        <v>1.4261874632173367E-2</v>
      </c>
      <c r="I19" s="1370">
        <f t="shared" si="3"/>
        <v>7.8238971053291948E-3</v>
      </c>
      <c r="J19" s="3">
        <f t="shared" si="4"/>
        <v>240</v>
      </c>
      <c r="K19" s="1371">
        <f t="shared" si="16"/>
        <v>60</v>
      </c>
      <c r="L19" s="1363">
        <v>2040.8957</v>
      </c>
      <c r="M19" s="1364">
        <v>127764.553</v>
      </c>
      <c r="N19" s="1365">
        <v>526.22969999999998</v>
      </c>
      <c r="O19" s="1366">
        <v>32847.394</v>
      </c>
      <c r="P19" s="1367">
        <f t="shared" si="5"/>
        <v>2.7553035692445625E-2</v>
      </c>
      <c r="Q19" s="1368">
        <f t="shared" si="6"/>
        <v>2.2405468684271061E-2</v>
      </c>
      <c r="R19" s="1369">
        <f t="shared" si="7"/>
        <v>7.1043442869348746E-3</v>
      </c>
      <c r="S19" s="1370">
        <f t="shared" si="8"/>
        <v>5.7602929791247589E-3</v>
      </c>
      <c r="T19" s="3">
        <f t="shared" si="9"/>
        <v>240</v>
      </c>
      <c r="U19" s="1371">
        <f t="shared" si="17"/>
        <v>60</v>
      </c>
      <c r="V19" s="1365">
        <v>239.59610000000001</v>
      </c>
      <c r="W19" s="1364">
        <v>14785.852513900001</v>
      </c>
      <c r="X19" s="1365">
        <v>193.85490000000004</v>
      </c>
      <c r="Y19" s="1372">
        <v>11981.370364499999</v>
      </c>
      <c r="Z19" s="1367">
        <f t="shared" si="10"/>
        <v>3.0895822501136672E-3</v>
      </c>
      <c r="AA19" s="1368">
        <f t="shared" si="11"/>
        <v>6.9939779907627984E-3</v>
      </c>
      <c r="AB19" s="1370">
        <f t="shared" si="12"/>
        <v>2.4997512820015022E-3</v>
      </c>
      <c r="AC19" s="1373">
        <f t="shared" si="13"/>
        <v>5.6674067693907862E-3</v>
      </c>
      <c r="AD19" s="48">
        <f t="shared" si="14"/>
        <v>240</v>
      </c>
    </row>
    <row r="20" spans="1:30" x14ac:dyDescent="0.2">
      <c r="A20" s="1362">
        <f t="shared" si="15"/>
        <v>65</v>
      </c>
      <c r="B20" s="1363">
        <v>1063.1494</v>
      </c>
      <c r="C20" s="1364">
        <v>73019.386999999901</v>
      </c>
      <c r="D20" s="1365">
        <v>793.50890000000004</v>
      </c>
      <c r="E20" s="1366">
        <v>53429.180999999997</v>
      </c>
      <c r="F20" s="1367">
        <f t="shared" si="0"/>
        <v>7.7110648061744719E-3</v>
      </c>
      <c r="G20" s="1368">
        <f t="shared" si="1"/>
        <v>4.6339198309316961E-3</v>
      </c>
      <c r="H20" s="1369">
        <f t="shared" si="2"/>
        <v>5.7553515547073804E-3</v>
      </c>
      <c r="I20" s="1370">
        <f t="shared" si="3"/>
        <v>3.3906959721031254E-3</v>
      </c>
      <c r="J20" s="3">
        <f t="shared" si="4"/>
        <v>260</v>
      </c>
      <c r="K20" s="1371">
        <f t="shared" si="16"/>
        <v>65</v>
      </c>
      <c r="L20" s="1363">
        <v>1071.1591999999901</v>
      </c>
      <c r="M20" s="1364">
        <v>72268.667000000001</v>
      </c>
      <c r="N20" s="1365">
        <v>1721.8702000000001</v>
      </c>
      <c r="O20" s="1366">
        <v>116180.515</v>
      </c>
      <c r="P20" s="1367">
        <f t="shared" si="5"/>
        <v>1.4461144520952847E-2</v>
      </c>
      <c r="Q20" s="1368">
        <f t="shared" si="6"/>
        <v>1.2673416196450932E-2</v>
      </c>
      <c r="R20" s="1369">
        <f t="shared" si="7"/>
        <v>2.3246043920009476E-2</v>
      </c>
      <c r="S20" s="1370">
        <f t="shared" si="8"/>
        <v>2.0374030428885737E-2</v>
      </c>
      <c r="T20" s="3">
        <f t="shared" si="9"/>
        <v>260</v>
      </c>
      <c r="U20" s="1371">
        <f t="shared" si="17"/>
        <v>65</v>
      </c>
      <c r="V20" s="1365">
        <v>337.29359999999997</v>
      </c>
      <c r="W20" s="1364">
        <v>23119.950836199998</v>
      </c>
      <c r="X20" s="1365">
        <v>873.49450000000002</v>
      </c>
      <c r="Y20" s="1372">
        <v>59801.014994600002</v>
      </c>
      <c r="Z20" s="1367">
        <f t="shared" si="10"/>
        <v>4.3493876554624184E-3</v>
      </c>
      <c r="AA20" s="1368">
        <f t="shared" si="11"/>
        <v>1.0936158543708462E-2</v>
      </c>
      <c r="AB20" s="1370">
        <f t="shared" si="12"/>
        <v>1.1263677091454797E-2</v>
      </c>
      <c r="AC20" s="1373">
        <f t="shared" si="13"/>
        <v>2.8286971096480203E-2</v>
      </c>
      <c r="AD20" s="48">
        <f t="shared" si="14"/>
        <v>260</v>
      </c>
    </row>
    <row r="21" spans="1:30" x14ac:dyDescent="0.2">
      <c r="A21" s="1362">
        <f t="shared" si="15"/>
        <v>70</v>
      </c>
      <c r="B21" s="1363">
        <v>1455.7556999999999</v>
      </c>
      <c r="C21" s="1364">
        <v>104747.23699999999</v>
      </c>
      <c r="D21" s="1365">
        <v>2313.4735999999898</v>
      </c>
      <c r="E21" s="1366">
        <v>169182.22199999899</v>
      </c>
      <c r="F21" s="1367">
        <f t="shared" si="0"/>
        <v>1.0558653886892925E-2</v>
      </c>
      <c r="G21" s="1368">
        <f t="shared" si="1"/>
        <v>6.6474167849368956E-3</v>
      </c>
      <c r="H21" s="1369">
        <f t="shared" si="2"/>
        <v>1.6779715867754501E-2</v>
      </c>
      <c r="I21" s="1370">
        <f t="shared" si="3"/>
        <v>1.073655758801269E-2</v>
      </c>
      <c r="J21" s="3">
        <f t="shared" si="4"/>
        <v>280</v>
      </c>
      <c r="K21" s="1371">
        <f t="shared" si="16"/>
        <v>70</v>
      </c>
      <c r="L21" s="1363">
        <v>2101.2222999999999</v>
      </c>
      <c r="M21" s="1364">
        <v>152797.033999999</v>
      </c>
      <c r="N21" s="1365">
        <v>1433.5342000000001</v>
      </c>
      <c r="O21" s="1366">
        <v>104665.05499999999</v>
      </c>
      <c r="P21" s="1367">
        <f t="shared" si="5"/>
        <v>2.8367472688419444E-2</v>
      </c>
      <c r="Q21" s="1368">
        <f t="shared" si="6"/>
        <v>2.6795297130155327E-2</v>
      </c>
      <c r="R21" s="1369">
        <f t="shared" si="7"/>
        <v>1.9353374588883442E-2</v>
      </c>
      <c r="S21" s="1370">
        <f t="shared" si="8"/>
        <v>1.8354618374785126E-2</v>
      </c>
      <c r="T21" s="3">
        <f t="shared" si="9"/>
        <v>280</v>
      </c>
      <c r="U21" s="1371">
        <f t="shared" si="17"/>
        <v>70</v>
      </c>
      <c r="V21" s="1365">
        <v>625.3845</v>
      </c>
      <c r="W21" s="1364">
        <v>45775.046318499997</v>
      </c>
      <c r="X21" s="1365">
        <v>74.381799999999998</v>
      </c>
      <c r="Y21" s="1372">
        <v>5319.3768362000001</v>
      </c>
      <c r="Z21" s="1367">
        <f t="shared" si="10"/>
        <v>8.0643084369746033E-3</v>
      </c>
      <c r="AA21" s="1368">
        <f t="shared" si="11"/>
        <v>2.1652432024245327E-2</v>
      </c>
      <c r="AB21" s="1370">
        <f t="shared" si="12"/>
        <v>9.5915037436546243E-4</v>
      </c>
      <c r="AC21" s="1373">
        <f t="shared" si="13"/>
        <v>2.5161622897280755E-3</v>
      </c>
      <c r="AD21" s="48">
        <f t="shared" si="14"/>
        <v>280</v>
      </c>
    </row>
    <row r="22" spans="1:30" x14ac:dyDescent="0.2">
      <c r="A22" s="1362">
        <f t="shared" si="15"/>
        <v>75</v>
      </c>
      <c r="B22" s="1363">
        <v>1501.537</v>
      </c>
      <c r="C22" s="1364">
        <v>116156.867</v>
      </c>
      <c r="D22" s="1365">
        <v>2918.5681999999902</v>
      </c>
      <c r="E22" s="1366">
        <v>230121.454</v>
      </c>
      <c r="F22" s="1367">
        <f t="shared" si="0"/>
        <v>1.0890707473351156E-2</v>
      </c>
      <c r="G22" s="1368">
        <f t="shared" si="1"/>
        <v>7.371489019624285E-3</v>
      </c>
      <c r="H22" s="1369">
        <f t="shared" si="2"/>
        <v>2.1168491024347001E-2</v>
      </c>
      <c r="I22" s="1370">
        <f t="shared" si="3"/>
        <v>1.4603852661943568E-2</v>
      </c>
      <c r="J22" s="3">
        <f t="shared" si="4"/>
        <v>300</v>
      </c>
      <c r="K22" s="1371">
        <f t="shared" si="16"/>
        <v>75</v>
      </c>
      <c r="L22" s="1363">
        <v>1654.29259999999</v>
      </c>
      <c r="M22" s="1364">
        <v>129589.42200000001</v>
      </c>
      <c r="N22" s="1365">
        <v>1437.3330000000001</v>
      </c>
      <c r="O22" s="1366">
        <v>112909.545</v>
      </c>
      <c r="P22" s="1367">
        <f t="shared" si="5"/>
        <v>2.2333715071058455E-2</v>
      </c>
      <c r="Q22" s="1368">
        <f t="shared" si="6"/>
        <v>2.2725487377033188E-2</v>
      </c>
      <c r="R22" s="1369">
        <f t="shared" si="7"/>
        <v>1.9404660145508634E-2</v>
      </c>
      <c r="S22" s="1370">
        <f t="shared" si="8"/>
        <v>1.980041580588314E-2</v>
      </c>
      <c r="T22" s="3">
        <f t="shared" si="9"/>
        <v>300</v>
      </c>
      <c r="U22" s="1371">
        <f t="shared" si="17"/>
        <v>75</v>
      </c>
      <c r="V22" s="1365">
        <v>154.32050000000001</v>
      </c>
      <c r="W22" s="1364">
        <v>12206.060251000003</v>
      </c>
      <c r="X22" s="1365">
        <v>624.81139999999994</v>
      </c>
      <c r="Y22" s="1372">
        <v>49411.109789799993</v>
      </c>
      <c r="Z22" s="1367">
        <f t="shared" si="10"/>
        <v>1.9899567548414443E-3</v>
      </c>
      <c r="AA22" s="1368">
        <f t="shared" si="11"/>
        <v>5.7736891849262239E-3</v>
      </c>
      <c r="AB22" s="1370">
        <f t="shared" si="12"/>
        <v>8.0569183351009068E-3</v>
      </c>
      <c r="AC22" s="1373">
        <f t="shared" si="13"/>
        <v>2.3372356382166642E-2</v>
      </c>
      <c r="AD22" s="48">
        <f t="shared" si="14"/>
        <v>300</v>
      </c>
    </row>
    <row r="23" spans="1:30" x14ac:dyDescent="0.2">
      <c r="A23" s="1362">
        <f t="shared" si="15"/>
        <v>80</v>
      </c>
      <c r="B23" s="1363">
        <v>1280.7547999999999</v>
      </c>
      <c r="C23" s="1364">
        <v>106423.68700000001</v>
      </c>
      <c r="D23" s="1365">
        <v>3268.5821999999898</v>
      </c>
      <c r="E23" s="1366">
        <v>271099.75</v>
      </c>
      <c r="F23" s="1367">
        <f t="shared" si="0"/>
        <v>9.2893654115019236E-3</v>
      </c>
      <c r="G23" s="1368">
        <f t="shared" si="1"/>
        <v>6.7538068166768973E-3</v>
      </c>
      <c r="H23" s="1369">
        <f t="shared" si="2"/>
        <v>2.3707156462213354E-2</v>
      </c>
      <c r="I23" s="1370">
        <f t="shared" si="3"/>
        <v>1.7204396795136433E-2</v>
      </c>
      <c r="J23" s="3">
        <f t="shared" si="4"/>
        <v>320</v>
      </c>
      <c r="K23" s="1371">
        <f t="shared" si="16"/>
        <v>80</v>
      </c>
      <c r="L23" s="1363">
        <v>2683.4986999999901</v>
      </c>
      <c r="M23" s="1364">
        <v>222613.96599999999</v>
      </c>
      <c r="N23" s="1365">
        <v>2033.1388999999999</v>
      </c>
      <c r="O23" s="1366">
        <v>168690.07199999999</v>
      </c>
      <c r="P23" s="1367">
        <f t="shared" si="5"/>
        <v>3.6228473342234564E-2</v>
      </c>
      <c r="Q23" s="1368">
        <f t="shared" si="6"/>
        <v>3.9038764092059107E-2</v>
      </c>
      <c r="R23" s="1369">
        <f t="shared" si="7"/>
        <v>2.744831530557864E-2</v>
      </c>
      <c r="S23" s="1370">
        <f t="shared" si="8"/>
        <v>2.9582384446986878E-2</v>
      </c>
      <c r="T23" s="3">
        <f t="shared" si="9"/>
        <v>320</v>
      </c>
      <c r="U23" s="1371">
        <f t="shared" si="17"/>
        <v>80</v>
      </c>
      <c r="V23" s="1365">
        <v>105.05269999999999</v>
      </c>
      <c r="W23" s="1364">
        <v>8733.4503960000002</v>
      </c>
      <c r="X23" s="1365">
        <v>108.85039999999999</v>
      </c>
      <c r="Y23" s="1372">
        <v>9036.201019099999</v>
      </c>
      <c r="Z23" s="1367">
        <f t="shared" si="10"/>
        <v>1.3546504189613938E-3</v>
      </c>
      <c r="AA23" s="1368">
        <f t="shared" si="11"/>
        <v>4.1310813695470457E-3</v>
      </c>
      <c r="AB23" s="1370">
        <f t="shared" si="12"/>
        <v>1.4036216105261009E-3</v>
      </c>
      <c r="AC23" s="1373">
        <f t="shared" si="13"/>
        <v>4.2742879376269412E-3</v>
      </c>
      <c r="AD23" s="48">
        <f t="shared" si="14"/>
        <v>320</v>
      </c>
    </row>
    <row r="24" spans="1:30" x14ac:dyDescent="0.2">
      <c r="A24" s="1362">
        <f t="shared" si="15"/>
        <v>85</v>
      </c>
      <c r="B24" s="1363">
        <v>1257.1134</v>
      </c>
      <c r="C24" s="1364">
        <v>110558.601</v>
      </c>
      <c r="D24" s="1365">
        <v>1649.71189999999</v>
      </c>
      <c r="E24" s="1366">
        <v>144708.20300000001</v>
      </c>
      <c r="F24" s="1367">
        <f t="shared" si="0"/>
        <v>9.1178933987173683E-3</v>
      </c>
      <c r="G24" s="1368">
        <f t="shared" si="1"/>
        <v>7.0162146616482212E-3</v>
      </c>
      <c r="H24" s="1369">
        <f t="shared" si="2"/>
        <v>1.1965425905726084E-2</v>
      </c>
      <c r="I24" s="1370">
        <f t="shared" si="3"/>
        <v>9.1833996302953143E-3</v>
      </c>
      <c r="J24" s="3">
        <f t="shared" si="4"/>
        <v>340</v>
      </c>
      <c r="K24" s="1371">
        <f t="shared" si="16"/>
        <v>85</v>
      </c>
      <c r="L24" s="1363">
        <v>1913.39129999999</v>
      </c>
      <c r="M24" s="1364">
        <v>168878.98099999901</v>
      </c>
      <c r="N24" s="1365">
        <v>1179.1614</v>
      </c>
      <c r="O24" s="1366">
        <v>103645.571</v>
      </c>
      <c r="P24" s="1367">
        <f t="shared" si="5"/>
        <v>2.5831667332394621E-2</v>
      </c>
      <c r="Q24" s="1368">
        <f t="shared" si="6"/>
        <v>2.9615512529731824E-2</v>
      </c>
      <c r="R24" s="1369">
        <f t="shared" si="7"/>
        <v>1.5919224162878165E-2</v>
      </c>
      <c r="S24" s="1370">
        <f t="shared" si="8"/>
        <v>1.8175836261125518E-2</v>
      </c>
      <c r="T24" s="3">
        <f t="shared" si="9"/>
        <v>340</v>
      </c>
      <c r="U24" s="1371">
        <f t="shared" si="17"/>
        <v>85</v>
      </c>
      <c r="V24" s="1365">
        <v>333.61880000000002</v>
      </c>
      <c r="W24" s="1364">
        <v>29138.413549500001</v>
      </c>
      <c r="X24" s="1365">
        <v>189.23439999999999</v>
      </c>
      <c r="Y24" s="1372">
        <v>16683.33294</v>
      </c>
      <c r="Z24" s="1367">
        <f t="shared" si="10"/>
        <v>4.3020012545455519E-3</v>
      </c>
      <c r="AA24" s="1368">
        <f t="shared" si="11"/>
        <v>1.3783001207361143E-2</v>
      </c>
      <c r="AB24" s="1370">
        <f t="shared" si="12"/>
        <v>2.4401701169213929E-3</v>
      </c>
      <c r="AC24" s="1373">
        <f t="shared" si="13"/>
        <v>7.8915208497606654E-3</v>
      </c>
      <c r="AD24" s="48">
        <f t="shared" si="14"/>
        <v>340</v>
      </c>
    </row>
    <row r="25" spans="1:30" x14ac:dyDescent="0.2">
      <c r="A25" s="1362">
        <f t="shared" si="15"/>
        <v>90</v>
      </c>
      <c r="B25" s="1363">
        <v>1424.5120999999999</v>
      </c>
      <c r="C25" s="1364">
        <v>131726.34499999901</v>
      </c>
      <c r="D25" s="1365">
        <v>3633.2916</v>
      </c>
      <c r="E25" s="1366">
        <v>335462.89399999997</v>
      </c>
      <c r="F25" s="1367">
        <f t="shared" si="0"/>
        <v>1.0332042815694284E-2</v>
      </c>
      <c r="G25" s="1368">
        <f t="shared" si="1"/>
        <v>8.359551448324903E-3</v>
      </c>
      <c r="H25" s="1369">
        <f t="shared" si="2"/>
        <v>2.63524082197002E-2</v>
      </c>
      <c r="I25" s="1370">
        <f t="shared" si="3"/>
        <v>2.1288978460588002E-2</v>
      </c>
      <c r="J25" s="3">
        <f t="shared" si="4"/>
        <v>360</v>
      </c>
      <c r="K25" s="1371">
        <f t="shared" si="16"/>
        <v>90</v>
      </c>
      <c r="L25" s="1363">
        <v>1992.4115999999999</v>
      </c>
      <c r="M25" s="1364">
        <v>184257.72899999999</v>
      </c>
      <c r="N25" s="1365">
        <v>965.65989999999999</v>
      </c>
      <c r="O25" s="1366">
        <v>88458.058000000005</v>
      </c>
      <c r="P25" s="1367">
        <f t="shared" si="5"/>
        <v>2.6898477922631073E-2</v>
      </c>
      <c r="Q25" s="1368">
        <f t="shared" si="6"/>
        <v>3.2312411228366318E-2</v>
      </c>
      <c r="R25" s="1369">
        <f t="shared" si="7"/>
        <v>1.3036855186408337E-2</v>
      </c>
      <c r="S25" s="1370">
        <f t="shared" si="8"/>
        <v>1.5512473544915337E-2</v>
      </c>
      <c r="T25" s="3">
        <f t="shared" si="9"/>
        <v>360</v>
      </c>
      <c r="U25" s="1371">
        <f t="shared" si="17"/>
        <v>90</v>
      </c>
      <c r="V25" s="1365">
        <v>52.854500000000002</v>
      </c>
      <c r="W25" s="1364">
        <v>4803.4339649000003</v>
      </c>
      <c r="X25" s="1365">
        <v>60.427300000000002</v>
      </c>
      <c r="Y25" s="1372">
        <v>5491.0855080000001</v>
      </c>
      <c r="Z25" s="1367">
        <f t="shared" si="10"/>
        <v>6.8155669077515381E-4</v>
      </c>
      <c r="AA25" s="1368">
        <f t="shared" si="11"/>
        <v>2.2721118987904638E-3</v>
      </c>
      <c r="AB25" s="1370">
        <f t="shared" si="12"/>
        <v>7.7920764779682808E-4</v>
      </c>
      <c r="AC25" s="1373">
        <f t="shared" si="13"/>
        <v>2.5973836241261657E-3</v>
      </c>
      <c r="AD25" s="48">
        <f t="shared" si="14"/>
        <v>360</v>
      </c>
    </row>
    <row r="26" spans="1:30" x14ac:dyDescent="0.2">
      <c r="A26" s="1362">
        <f t="shared" si="15"/>
        <v>95</v>
      </c>
      <c r="B26" s="1363">
        <v>2003.2981</v>
      </c>
      <c r="C26" s="1364">
        <v>195297.85799999899</v>
      </c>
      <c r="D26" s="1365">
        <v>5666.7551999999896</v>
      </c>
      <c r="E26" s="1366">
        <v>558952.43799999997</v>
      </c>
      <c r="F26" s="1367">
        <f t="shared" si="0"/>
        <v>1.4530000652012019E-2</v>
      </c>
      <c r="G26" s="1368">
        <f t="shared" si="1"/>
        <v>1.2393895023039277E-2</v>
      </c>
      <c r="H26" s="1369">
        <f t="shared" si="2"/>
        <v>4.1101200440809262E-2</v>
      </c>
      <c r="I26" s="1370">
        <f t="shared" si="3"/>
        <v>3.5471960165809426E-2</v>
      </c>
      <c r="J26" s="3">
        <f t="shared" si="4"/>
        <v>380</v>
      </c>
      <c r="K26" s="1371">
        <f t="shared" si="16"/>
        <v>95</v>
      </c>
      <c r="L26" s="1363">
        <v>1499.40379999999</v>
      </c>
      <c r="M26" s="1364">
        <v>148605.92600000001</v>
      </c>
      <c r="N26" s="1365">
        <v>1616.0700999999899</v>
      </c>
      <c r="O26" s="1366">
        <v>159168.21400000001</v>
      </c>
      <c r="P26" s="1367">
        <f t="shared" si="5"/>
        <v>2.0242644648027983E-2</v>
      </c>
      <c r="Q26" s="1368">
        <f t="shared" si="6"/>
        <v>2.6060322234212355E-2</v>
      </c>
      <c r="R26" s="1369">
        <f t="shared" si="7"/>
        <v>2.1817693646370019E-2</v>
      </c>
      <c r="S26" s="1370">
        <f t="shared" si="8"/>
        <v>2.7912580998176818E-2</v>
      </c>
      <c r="T26" s="3">
        <f t="shared" si="9"/>
        <v>380</v>
      </c>
      <c r="U26" s="1371">
        <f t="shared" si="17"/>
        <v>95</v>
      </c>
      <c r="V26" s="1365">
        <v>17.5535</v>
      </c>
      <c r="W26" s="1364">
        <v>1755.35</v>
      </c>
      <c r="X26" s="1365">
        <v>35.531599999999997</v>
      </c>
      <c r="Y26" s="1372">
        <v>3489.2031199999997</v>
      </c>
      <c r="Z26" s="1367">
        <f t="shared" si="10"/>
        <v>2.2635168947812695E-4</v>
      </c>
      <c r="AA26" s="1368">
        <f t="shared" si="11"/>
        <v>8.3031257443858116E-4</v>
      </c>
      <c r="AB26" s="1370">
        <f t="shared" si="12"/>
        <v>4.5817857919281145E-4</v>
      </c>
      <c r="AC26" s="1373">
        <f t="shared" si="13"/>
        <v>1.6504567324501266E-3</v>
      </c>
      <c r="AD26" s="48">
        <f t="shared" si="14"/>
        <v>380</v>
      </c>
    </row>
    <row r="27" spans="1:30" x14ac:dyDescent="0.2">
      <c r="A27" s="1362">
        <f t="shared" si="15"/>
        <v>100</v>
      </c>
      <c r="B27" s="1363">
        <v>945.53879999999901</v>
      </c>
      <c r="C27" s="1364">
        <v>96985.84</v>
      </c>
      <c r="D27" s="1365">
        <v>3682.0984999999901</v>
      </c>
      <c r="E27" s="1366">
        <v>378643.88900000002</v>
      </c>
      <c r="F27" s="1367">
        <f t="shared" si="0"/>
        <v>6.858030455129293E-3</v>
      </c>
      <c r="G27" s="1368">
        <f t="shared" si="1"/>
        <v>6.1548668889204608E-3</v>
      </c>
      <c r="H27" s="1369">
        <f t="shared" si="2"/>
        <v>2.6706406603077361E-2</v>
      </c>
      <c r="I27" s="1370">
        <f t="shared" si="3"/>
        <v>2.4029309176454773E-2</v>
      </c>
      <c r="J27" s="3">
        <f t="shared" si="4"/>
        <v>400</v>
      </c>
      <c r="K27" s="1371">
        <f t="shared" si="16"/>
        <v>100</v>
      </c>
      <c r="L27" s="1363">
        <v>1488.4650999999999</v>
      </c>
      <c r="M27" s="1364">
        <v>151164.02799999999</v>
      </c>
      <c r="N27" s="1365">
        <v>368.87189999999998</v>
      </c>
      <c r="O27" s="1366">
        <v>38092.885000000002</v>
      </c>
      <c r="P27" s="1367">
        <f t="shared" si="5"/>
        <v>2.0094967139800256E-2</v>
      </c>
      <c r="Q27" s="1368">
        <f t="shared" si="6"/>
        <v>2.6508924549223555E-2</v>
      </c>
      <c r="R27" s="1369">
        <f t="shared" si="7"/>
        <v>4.9799412221997585E-3</v>
      </c>
      <c r="S27" s="1370">
        <f t="shared" si="8"/>
        <v>6.6801700622005772E-3</v>
      </c>
      <c r="T27" s="3">
        <f t="shared" si="9"/>
        <v>400</v>
      </c>
      <c r="U27" s="1371">
        <f t="shared" si="17"/>
        <v>100</v>
      </c>
      <c r="V27" s="1365">
        <v>10.134399999999999</v>
      </c>
      <c r="W27" s="1364">
        <v>1036.0498464</v>
      </c>
      <c r="X27" s="1365">
        <v>57.123000000000005</v>
      </c>
      <c r="Y27" s="1372">
        <v>5899.4290926000003</v>
      </c>
      <c r="Z27" s="1367">
        <f t="shared" si="10"/>
        <v>1.3068268788829179E-4</v>
      </c>
      <c r="AA27" s="1368">
        <f t="shared" si="11"/>
        <v>4.9007047894213725E-4</v>
      </c>
      <c r="AB27" s="1370">
        <f t="shared" si="12"/>
        <v>7.3659882975241682E-4</v>
      </c>
      <c r="AC27" s="1373">
        <f t="shared" si="13"/>
        <v>2.7905375894235166E-3</v>
      </c>
      <c r="AD27" s="48">
        <f t="shared" si="14"/>
        <v>400</v>
      </c>
    </row>
    <row r="28" spans="1:30" x14ac:dyDescent="0.2">
      <c r="A28" s="1362">
        <f t="shared" si="15"/>
        <v>105</v>
      </c>
      <c r="B28" s="1363">
        <v>519.00159999999903</v>
      </c>
      <c r="C28" s="1364">
        <v>55851.678</v>
      </c>
      <c r="D28" s="1365">
        <v>7138.5586999999996</v>
      </c>
      <c r="E28" s="1366">
        <v>769365.93400000001</v>
      </c>
      <c r="F28" s="1367">
        <f t="shared" si="0"/>
        <v>3.7643392096240033E-3</v>
      </c>
      <c r="G28" s="1368">
        <f t="shared" si="1"/>
        <v>3.5444312655625539E-3</v>
      </c>
      <c r="H28" s="1369">
        <f t="shared" si="2"/>
        <v>5.1776249658214153E-2</v>
      </c>
      <c r="I28" s="1370">
        <f t="shared" si="3"/>
        <v>4.8825116250371857E-2</v>
      </c>
      <c r="J28" s="3">
        <f t="shared" si="4"/>
        <v>420</v>
      </c>
      <c r="K28" s="1371">
        <f t="shared" si="16"/>
        <v>105</v>
      </c>
      <c r="L28" s="1363">
        <v>739.90470000000005</v>
      </c>
      <c r="M28" s="1364">
        <v>79229.471999999994</v>
      </c>
      <c r="N28" s="1365">
        <v>666.90329999999994</v>
      </c>
      <c r="O28" s="1366">
        <v>72431.176999999996</v>
      </c>
      <c r="P28" s="1367">
        <f t="shared" si="5"/>
        <v>9.9890555936338506E-3</v>
      </c>
      <c r="Q28" s="1368">
        <f t="shared" si="6"/>
        <v>1.3894099827260625E-2</v>
      </c>
      <c r="R28" s="1369">
        <f t="shared" si="7"/>
        <v>9.0035029366320723E-3</v>
      </c>
      <c r="S28" s="1370">
        <f t="shared" si="8"/>
        <v>1.2701914810740929E-2</v>
      </c>
      <c r="T28" s="3">
        <f t="shared" si="9"/>
        <v>420</v>
      </c>
      <c r="U28" s="1371">
        <f t="shared" si="17"/>
        <v>105</v>
      </c>
      <c r="V28" s="1365">
        <v>0</v>
      </c>
      <c r="W28" s="1364">
        <v>0</v>
      </c>
      <c r="X28" s="1365">
        <v>144.16370000000001</v>
      </c>
      <c r="Y28" s="1372">
        <v>15591.853449599999</v>
      </c>
      <c r="Z28" s="1367">
        <f t="shared" si="10"/>
        <v>0</v>
      </c>
      <c r="AA28" s="1368">
        <f t="shared" si="11"/>
        <v>0</v>
      </c>
      <c r="AB28" s="1370">
        <f t="shared" si="12"/>
        <v>1.858985219837517E-3</v>
      </c>
      <c r="AC28" s="1373">
        <f t="shared" si="13"/>
        <v>7.3752311379533704E-3</v>
      </c>
      <c r="AD28" s="48">
        <f t="shared" si="14"/>
        <v>420</v>
      </c>
    </row>
    <row r="29" spans="1:30" x14ac:dyDescent="0.2">
      <c r="A29" s="1362">
        <f t="shared" si="15"/>
        <v>110</v>
      </c>
      <c r="B29" s="1363">
        <v>1386.0089</v>
      </c>
      <c r="C29" s="1364">
        <v>156229.302</v>
      </c>
      <c r="D29" s="1365">
        <v>6033.3536999999997</v>
      </c>
      <c r="E29" s="1366">
        <v>678564.09799999895</v>
      </c>
      <c r="F29" s="1367">
        <f t="shared" si="0"/>
        <v>1.0052777577483083E-2</v>
      </c>
      <c r="G29" s="1368">
        <f t="shared" si="1"/>
        <v>9.914545854930526E-3</v>
      </c>
      <c r="H29" s="1369">
        <f t="shared" si="2"/>
        <v>4.3760153915595054E-2</v>
      </c>
      <c r="I29" s="1370">
        <f t="shared" si="3"/>
        <v>4.3062695531537104E-2</v>
      </c>
      <c r="J29" s="1143">
        <f t="shared" si="4"/>
        <v>440</v>
      </c>
      <c r="K29" s="1371">
        <f t="shared" si="16"/>
        <v>110</v>
      </c>
      <c r="L29" s="1363">
        <v>544.17139999999995</v>
      </c>
      <c r="M29" s="1364">
        <v>61365.601999999999</v>
      </c>
      <c r="N29" s="1365">
        <v>410.79509999999999</v>
      </c>
      <c r="O29" s="1366">
        <v>46323.256999999998</v>
      </c>
      <c r="P29" s="1367">
        <f t="shared" si="5"/>
        <v>7.3465655334606778E-3</v>
      </c>
      <c r="Q29" s="1368">
        <f t="shared" si="6"/>
        <v>1.0761396972933813E-2</v>
      </c>
      <c r="R29" s="1369">
        <f t="shared" si="7"/>
        <v>5.5459238081503959E-3</v>
      </c>
      <c r="S29" s="1370">
        <f t="shared" si="8"/>
        <v>8.1234916860464437E-3</v>
      </c>
      <c r="T29" s="3">
        <f t="shared" si="9"/>
        <v>440</v>
      </c>
      <c r="U29" s="1371">
        <f t="shared" si="17"/>
        <v>110</v>
      </c>
      <c r="V29" s="1365">
        <v>0</v>
      </c>
      <c r="W29" s="1364">
        <v>0</v>
      </c>
      <c r="X29" s="1365">
        <v>0</v>
      </c>
      <c r="Y29" s="1372">
        <v>0</v>
      </c>
      <c r="Z29" s="1367">
        <f t="shared" si="10"/>
        <v>0</v>
      </c>
      <c r="AA29" s="1368">
        <f t="shared" si="11"/>
        <v>0</v>
      </c>
      <c r="AB29" s="1370">
        <f t="shared" si="12"/>
        <v>0</v>
      </c>
      <c r="AC29" s="1373">
        <f t="shared" si="13"/>
        <v>0</v>
      </c>
      <c r="AD29" s="48">
        <f t="shared" si="14"/>
        <v>440</v>
      </c>
    </row>
    <row r="30" spans="1:30" x14ac:dyDescent="0.2">
      <c r="A30" s="1362">
        <f t="shared" si="15"/>
        <v>115</v>
      </c>
      <c r="B30" s="1363">
        <v>1029.8838000000001</v>
      </c>
      <c r="C30" s="1364">
        <v>121303.545</v>
      </c>
      <c r="D30" s="1365">
        <v>8722.3936999999896</v>
      </c>
      <c r="E30" s="1366">
        <v>1033607.194</v>
      </c>
      <c r="F30" s="1367">
        <f t="shared" si="0"/>
        <v>7.4697880887006369E-3</v>
      </c>
      <c r="G30" s="1368">
        <f t="shared" si="1"/>
        <v>7.6981049257208384E-3</v>
      </c>
      <c r="H30" s="1369">
        <f t="shared" si="2"/>
        <v>6.3263867792868855E-2</v>
      </c>
      <c r="I30" s="1370">
        <f t="shared" si="3"/>
        <v>6.5594262982107368E-2</v>
      </c>
      <c r="J30" s="3">
        <f t="shared" si="4"/>
        <v>460</v>
      </c>
      <c r="K30" s="1371">
        <f t="shared" si="16"/>
        <v>115</v>
      </c>
      <c r="L30" s="1363">
        <v>769.06920000000002</v>
      </c>
      <c r="M30" s="1364">
        <v>91467.982999999906</v>
      </c>
      <c r="N30" s="1365">
        <v>1185.1524999999999</v>
      </c>
      <c r="O30" s="1366">
        <v>139586.94899999999</v>
      </c>
      <c r="P30" s="1367">
        <f t="shared" si="5"/>
        <v>1.0382789829759846E-2</v>
      </c>
      <c r="Q30" s="1368">
        <f t="shared" si="6"/>
        <v>1.6040309934164099E-2</v>
      </c>
      <c r="R30" s="1369">
        <f t="shared" si="7"/>
        <v>1.6000106783257546E-2</v>
      </c>
      <c r="S30" s="1370">
        <f t="shared" si="8"/>
        <v>2.4478706660934678E-2</v>
      </c>
      <c r="T30" s="3">
        <f t="shared" si="9"/>
        <v>460</v>
      </c>
      <c r="U30" s="1371">
        <f t="shared" si="17"/>
        <v>115</v>
      </c>
      <c r="V30" s="1365">
        <v>0</v>
      </c>
      <c r="W30" s="1364">
        <v>0</v>
      </c>
      <c r="X30" s="1365">
        <v>0</v>
      </c>
      <c r="Y30" s="1372">
        <v>0</v>
      </c>
      <c r="Z30" s="1367">
        <f t="shared" si="10"/>
        <v>0</v>
      </c>
      <c r="AA30" s="1368">
        <f t="shared" si="11"/>
        <v>0</v>
      </c>
      <c r="AB30" s="1370">
        <f t="shared" si="12"/>
        <v>0</v>
      </c>
      <c r="AC30" s="1373">
        <f t="shared" si="13"/>
        <v>0</v>
      </c>
      <c r="AD30" s="48">
        <f t="shared" si="14"/>
        <v>460</v>
      </c>
    </row>
    <row r="31" spans="1:30" x14ac:dyDescent="0.2">
      <c r="A31" s="1362">
        <f t="shared" si="15"/>
        <v>120</v>
      </c>
      <c r="B31" s="1363">
        <v>5638.7830000000004</v>
      </c>
      <c r="C31" s="1364">
        <v>697692.64199999999</v>
      </c>
      <c r="D31" s="1365">
        <v>12836.4771</v>
      </c>
      <c r="E31" s="1366">
        <v>1579329.1440000001</v>
      </c>
      <c r="F31" s="1367">
        <f t="shared" si="0"/>
        <v>4.0898316963688175E-2</v>
      </c>
      <c r="G31" s="1368">
        <f t="shared" si="1"/>
        <v>4.4276621627334846E-2</v>
      </c>
      <c r="H31" s="1369">
        <f t="shared" si="2"/>
        <v>9.3103478025830189E-2</v>
      </c>
      <c r="I31" s="1370">
        <f t="shared" si="3"/>
        <v>0.10022659653319181</v>
      </c>
      <c r="J31" s="3">
        <f t="shared" si="4"/>
        <v>480</v>
      </c>
      <c r="K31" s="1371">
        <f t="shared" si="16"/>
        <v>120</v>
      </c>
      <c r="L31" s="1363">
        <v>1675.8359</v>
      </c>
      <c r="M31" s="1364">
        <v>203931.10299999901</v>
      </c>
      <c r="N31" s="1365">
        <v>870.24490000000003</v>
      </c>
      <c r="O31" s="1366">
        <v>105227.204999999</v>
      </c>
      <c r="P31" s="1367">
        <f t="shared" si="5"/>
        <v>2.2624559583021189E-2</v>
      </c>
      <c r="Q31" s="1368">
        <f t="shared" si="6"/>
        <v>3.5762438287678541E-2</v>
      </c>
      <c r="R31" s="1369">
        <f t="shared" si="7"/>
        <v>1.174870856500348E-2</v>
      </c>
      <c r="S31" s="1370">
        <f t="shared" si="8"/>
        <v>1.8453199976059469E-2</v>
      </c>
      <c r="T31" s="3">
        <f t="shared" si="9"/>
        <v>480</v>
      </c>
      <c r="U31" s="1371">
        <f t="shared" si="17"/>
        <v>120</v>
      </c>
      <c r="V31" s="1365">
        <v>75.965000000000003</v>
      </c>
      <c r="W31" s="1364">
        <v>9495.625</v>
      </c>
      <c r="X31" s="1365">
        <v>0</v>
      </c>
      <c r="Y31" s="1372">
        <v>0</v>
      </c>
      <c r="Z31" s="1367">
        <f t="shared" si="10"/>
        <v>9.7956567585985219E-4</v>
      </c>
      <c r="AA31" s="1368">
        <f t="shared" si="11"/>
        <v>4.4916038622800879E-3</v>
      </c>
      <c r="AB31" s="1370">
        <f t="shared" si="12"/>
        <v>0</v>
      </c>
      <c r="AC31" s="1373">
        <f t="shared" si="13"/>
        <v>0</v>
      </c>
      <c r="AD31" s="48">
        <f t="shared" si="14"/>
        <v>480</v>
      </c>
    </row>
    <row r="32" spans="1:30" x14ac:dyDescent="0.2">
      <c r="A32" s="1362">
        <f t="shared" si="15"/>
        <v>125</v>
      </c>
      <c r="B32" s="1363">
        <v>1575.847</v>
      </c>
      <c r="C32" s="1364">
        <v>200591.02</v>
      </c>
      <c r="D32" s="1365">
        <v>6633.0735000000004</v>
      </c>
      <c r="E32" s="1366">
        <v>843694.77399999998</v>
      </c>
      <c r="F32" s="1367">
        <f t="shared" si="0"/>
        <v>1.1429680853524088E-2</v>
      </c>
      <c r="G32" s="1368">
        <f t="shared" si="1"/>
        <v>1.2729807023507575E-2</v>
      </c>
      <c r="H32" s="1369">
        <f t="shared" si="2"/>
        <v>4.8109945434403223E-2</v>
      </c>
      <c r="I32" s="1370">
        <f t="shared" si="3"/>
        <v>5.3542135932913827E-2</v>
      </c>
      <c r="J32" s="3">
        <f t="shared" si="4"/>
        <v>500</v>
      </c>
      <c r="K32" s="1371">
        <f t="shared" si="16"/>
        <v>125</v>
      </c>
      <c r="L32" s="1363">
        <v>522.59209999999996</v>
      </c>
      <c r="M32" s="1364">
        <v>66735.721999999994</v>
      </c>
      <c r="N32" s="1365">
        <v>411.65730000000002</v>
      </c>
      <c r="O32" s="1366">
        <v>51980.504000000001</v>
      </c>
      <c r="P32" s="1367">
        <f t="shared" si="5"/>
        <v>7.0552350048511108E-3</v>
      </c>
      <c r="Q32" s="1368">
        <f t="shared" si="6"/>
        <v>1.1703129657513217E-2</v>
      </c>
      <c r="R32" s="1369">
        <f t="shared" si="7"/>
        <v>5.5575639068453113E-3</v>
      </c>
      <c r="S32" s="1370">
        <f t="shared" si="8"/>
        <v>9.1155764820358802E-3</v>
      </c>
      <c r="T32" s="3">
        <f t="shared" si="9"/>
        <v>500</v>
      </c>
      <c r="U32" s="1371">
        <f t="shared" si="17"/>
        <v>125</v>
      </c>
      <c r="V32" s="1365">
        <v>0</v>
      </c>
      <c r="W32" s="1364">
        <v>0</v>
      </c>
      <c r="X32" s="1365">
        <v>208.6585</v>
      </c>
      <c r="Y32" s="1372">
        <v>26311.376705999999</v>
      </c>
      <c r="Z32" s="1367">
        <f t="shared" si="10"/>
        <v>0</v>
      </c>
      <c r="AA32" s="1368">
        <f t="shared" si="11"/>
        <v>0</v>
      </c>
      <c r="AB32" s="1370">
        <f t="shared" si="12"/>
        <v>2.6906431195471989E-3</v>
      </c>
      <c r="AC32" s="1373">
        <f t="shared" si="13"/>
        <v>1.2445761204194135E-2</v>
      </c>
      <c r="AD32" s="48">
        <f t="shared" si="14"/>
        <v>500</v>
      </c>
    </row>
    <row r="33" spans="1:30" x14ac:dyDescent="0.2">
      <c r="A33" s="1362">
        <f t="shared" si="15"/>
        <v>130</v>
      </c>
      <c r="B33" s="1363">
        <v>1937.9351999999999</v>
      </c>
      <c r="C33" s="1364">
        <v>257261.7</v>
      </c>
      <c r="D33" s="1365">
        <v>6290.2311</v>
      </c>
      <c r="E33" s="1366">
        <v>834755.29299999995</v>
      </c>
      <c r="F33" s="1367">
        <f t="shared" si="0"/>
        <v>1.4055920943346895E-2</v>
      </c>
      <c r="G33" s="1368">
        <f t="shared" si="1"/>
        <v>1.6326213384524887E-2</v>
      </c>
      <c r="H33" s="1369">
        <f t="shared" si="2"/>
        <v>4.5623295896055752E-2</v>
      </c>
      <c r="I33" s="1370">
        <f t="shared" si="3"/>
        <v>5.2974823059085713E-2</v>
      </c>
      <c r="J33" s="3">
        <f t="shared" si="4"/>
        <v>520</v>
      </c>
      <c r="K33" s="1371">
        <f t="shared" si="16"/>
        <v>130</v>
      </c>
      <c r="L33" s="1363">
        <v>288.9171</v>
      </c>
      <c r="M33" s="1364">
        <v>38323.088000000003</v>
      </c>
      <c r="N33" s="1365">
        <v>461.54109999999997</v>
      </c>
      <c r="O33" s="1366">
        <v>61572.883000000002</v>
      </c>
      <c r="P33" s="1367">
        <f t="shared" si="5"/>
        <v>3.9005144498358646E-3</v>
      </c>
      <c r="Q33" s="1368">
        <f t="shared" si="6"/>
        <v>6.72053967948813E-3</v>
      </c>
      <c r="R33" s="1369">
        <f t="shared" si="7"/>
        <v>6.2310182739032738E-3</v>
      </c>
      <c r="S33" s="1370">
        <f t="shared" si="8"/>
        <v>1.079774686690123E-2</v>
      </c>
      <c r="T33" s="3">
        <f t="shared" si="9"/>
        <v>520</v>
      </c>
      <c r="U33" s="1371">
        <f t="shared" si="17"/>
        <v>130</v>
      </c>
      <c r="V33" s="1365">
        <v>0</v>
      </c>
      <c r="W33" s="1364">
        <v>0</v>
      </c>
      <c r="X33" s="1365">
        <v>81.903700000000001</v>
      </c>
      <c r="Y33" s="1372">
        <v>11050.635719999998</v>
      </c>
      <c r="Z33" s="1367">
        <f t="shared" si="10"/>
        <v>0</v>
      </c>
      <c r="AA33" s="1368">
        <f t="shared" si="11"/>
        <v>0</v>
      </c>
      <c r="AB33" s="1370">
        <f t="shared" si="12"/>
        <v>1.0561449778966967E-3</v>
      </c>
      <c r="AC33" s="1373">
        <f t="shared" si="13"/>
        <v>5.2271523023078833E-3</v>
      </c>
      <c r="AD33" s="48">
        <f t="shared" si="14"/>
        <v>520</v>
      </c>
    </row>
    <row r="34" spans="1:30" x14ac:dyDescent="0.2">
      <c r="A34" s="1362">
        <f t="shared" si="15"/>
        <v>135</v>
      </c>
      <c r="B34" s="1363">
        <v>359.35430000000002</v>
      </c>
      <c r="C34" s="1364">
        <v>49570.470999999998</v>
      </c>
      <c r="D34" s="1365">
        <v>3622.0074999999902</v>
      </c>
      <c r="E34" s="1366">
        <v>497862.19500000001</v>
      </c>
      <c r="F34" s="1367">
        <f t="shared" si="0"/>
        <v>2.6064110045845514E-3</v>
      </c>
      <c r="G34" s="1368">
        <f t="shared" si="1"/>
        <v>3.1458164472885105E-3</v>
      </c>
      <c r="H34" s="1369">
        <f t="shared" si="2"/>
        <v>2.6270564194411348E-2</v>
      </c>
      <c r="I34" s="1370">
        <f t="shared" si="3"/>
        <v>3.159508170729626E-2</v>
      </c>
      <c r="J34" s="3">
        <f t="shared" si="4"/>
        <v>540</v>
      </c>
      <c r="K34" s="1371">
        <f t="shared" si="16"/>
        <v>135</v>
      </c>
      <c r="L34" s="1363">
        <v>1425.6043</v>
      </c>
      <c r="M34" s="1364">
        <v>196862.63800000001</v>
      </c>
      <c r="N34" s="1365">
        <v>497.0958</v>
      </c>
      <c r="O34" s="1366">
        <v>67969.755000000005</v>
      </c>
      <c r="P34" s="1367">
        <f t="shared" si="5"/>
        <v>1.924631727197228E-2</v>
      </c>
      <c r="Q34" s="1368">
        <f t="shared" si="6"/>
        <v>3.4522874829077128E-2</v>
      </c>
      <c r="R34" s="1369">
        <f t="shared" si="7"/>
        <v>6.7110231649588027E-3</v>
      </c>
      <c r="S34" s="1370">
        <f t="shared" si="8"/>
        <v>1.1919536220113231E-2</v>
      </c>
      <c r="T34" s="3">
        <f t="shared" si="9"/>
        <v>540</v>
      </c>
      <c r="U34" s="1371">
        <f t="shared" si="17"/>
        <v>135</v>
      </c>
      <c r="V34" s="1365">
        <v>155.62700000000001</v>
      </c>
      <c r="W34" s="1364">
        <v>21787.78</v>
      </c>
      <c r="X34" s="1365">
        <v>46.326599999999999</v>
      </c>
      <c r="Y34" s="1372">
        <v>6399.7418304000003</v>
      </c>
      <c r="Z34" s="1367">
        <f t="shared" si="10"/>
        <v>2.0068040207601029E-3</v>
      </c>
      <c r="AA34" s="1368">
        <f t="shared" si="11"/>
        <v>1.030601743418773E-2</v>
      </c>
      <c r="AB34" s="1370">
        <f t="shared" si="12"/>
        <v>5.9737967800025044E-4</v>
      </c>
      <c r="AC34" s="1373">
        <f t="shared" si="13"/>
        <v>3.0271946420609578E-3</v>
      </c>
      <c r="AD34" s="48">
        <f t="shared" si="14"/>
        <v>540</v>
      </c>
    </row>
    <row r="35" spans="1:30" x14ac:dyDescent="0.2">
      <c r="A35" s="1362">
        <f t="shared" si="15"/>
        <v>140</v>
      </c>
      <c r="B35" s="1363">
        <v>958.18190000000004</v>
      </c>
      <c r="C35" s="1364">
        <v>136610.31699999899</v>
      </c>
      <c r="D35" s="1365">
        <v>3064.0736999999899</v>
      </c>
      <c r="E35" s="1366">
        <v>436337.08399999997</v>
      </c>
      <c r="F35" s="1367">
        <f t="shared" si="0"/>
        <v>6.9497313613715887E-3</v>
      </c>
      <c r="G35" s="1368">
        <f t="shared" si="1"/>
        <v>8.6694956375922682E-3</v>
      </c>
      <c r="H35" s="1369">
        <f t="shared" si="2"/>
        <v>2.2223848192544454E-2</v>
      </c>
      <c r="I35" s="1370">
        <f t="shared" si="3"/>
        <v>2.7690605873184226E-2</v>
      </c>
      <c r="J35" s="3">
        <f t="shared" si="4"/>
        <v>560</v>
      </c>
      <c r="K35" s="1371">
        <f t="shared" si="16"/>
        <v>140</v>
      </c>
      <c r="L35" s="1363">
        <v>409.39080000000001</v>
      </c>
      <c r="M35" s="1364">
        <v>59155.885000000002</v>
      </c>
      <c r="N35" s="1365">
        <v>482.28309999999999</v>
      </c>
      <c r="O35" s="1366">
        <v>68504.797999999995</v>
      </c>
      <c r="P35" s="1367">
        <f t="shared" si="5"/>
        <v>5.5269651087798697E-3</v>
      </c>
      <c r="Q35" s="1368">
        <f t="shared" si="6"/>
        <v>1.0373889296648972E-2</v>
      </c>
      <c r="R35" s="1369">
        <f t="shared" si="7"/>
        <v>6.51104486533208E-3</v>
      </c>
      <c r="S35" s="1370">
        <f t="shared" si="8"/>
        <v>1.2013364194302897E-2</v>
      </c>
      <c r="T35" s="3">
        <f t="shared" si="9"/>
        <v>560</v>
      </c>
      <c r="U35" s="1371">
        <f t="shared" si="17"/>
        <v>140</v>
      </c>
      <c r="V35" s="1365">
        <v>0</v>
      </c>
      <c r="W35" s="1364">
        <v>0</v>
      </c>
      <c r="X35" s="1365">
        <v>10.2363</v>
      </c>
      <c r="Y35" s="1372">
        <v>1458.2940068999999</v>
      </c>
      <c r="Z35" s="1367">
        <f t="shared" si="10"/>
        <v>0</v>
      </c>
      <c r="AA35" s="1368">
        <f t="shared" si="11"/>
        <v>0</v>
      </c>
      <c r="AB35" s="1370">
        <f t="shared" si="12"/>
        <v>1.3199668436522351E-4</v>
      </c>
      <c r="AC35" s="1373">
        <f t="shared" si="13"/>
        <v>6.8979967024097367E-4</v>
      </c>
      <c r="AD35" s="48">
        <f t="shared" si="14"/>
        <v>560</v>
      </c>
    </row>
    <row r="36" spans="1:30" x14ac:dyDescent="0.2">
      <c r="A36" s="1362">
        <f t="shared" si="15"/>
        <v>145</v>
      </c>
      <c r="B36" s="1363">
        <v>1141.6544999999901</v>
      </c>
      <c r="C36" s="1364">
        <v>169387.77900000001</v>
      </c>
      <c r="D36" s="1365">
        <v>3519.11399999999</v>
      </c>
      <c r="E36" s="1366">
        <v>521486.56999999902</v>
      </c>
      <c r="F36" s="1367">
        <f t="shared" si="0"/>
        <v>8.2804654131965246E-3</v>
      </c>
      <c r="G36" s="1368">
        <f t="shared" si="1"/>
        <v>1.0749602543576224E-2</v>
      </c>
      <c r="H36" s="1369">
        <f t="shared" si="2"/>
        <v>2.5524273553948103E-2</v>
      </c>
      <c r="I36" s="1370">
        <f t="shared" si="3"/>
        <v>3.3094319982274689E-2</v>
      </c>
      <c r="J36" s="3">
        <f t="shared" si="4"/>
        <v>580</v>
      </c>
      <c r="K36" s="1371">
        <f t="shared" si="16"/>
        <v>145</v>
      </c>
      <c r="L36" s="1363">
        <v>1154.4870000000001</v>
      </c>
      <c r="M36" s="1364">
        <v>171276.04799999899</v>
      </c>
      <c r="N36" s="1365">
        <v>24.398099999999999</v>
      </c>
      <c r="O36" s="1366">
        <v>3610.9319999999998</v>
      </c>
      <c r="P36" s="1367">
        <f t="shared" si="5"/>
        <v>1.5586108353045417E-2</v>
      </c>
      <c r="Q36" s="1368">
        <f t="shared" si="6"/>
        <v>3.0035874894264958E-2</v>
      </c>
      <c r="R36" s="1369">
        <f t="shared" si="7"/>
        <v>3.2938563206726221E-4</v>
      </c>
      <c r="S36" s="1370">
        <f t="shared" si="8"/>
        <v>6.3323215983882692E-4</v>
      </c>
      <c r="T36" s="3">
        <f t="shared" si="9"/>
        <v>580</v>
      </c>
      <c r="U36" s="1371">
        <f t="shared" si="17"/>
        <v>145</v>
      </c>
      <c r="V36" s="1365">
        <v>0</v>
      </c>
      <c r="W36" s="1364">
        <v>0</v>
      </c>
      <c r="X36" s="1365">
        <v>0</v>
      </c>
      <c r="Y36" s="1372">
        <v>0</v>
      </c>
      <c r="Z36" s="1367">
        <f t="shared" si="10"/>
        <v>0</v>
      </c>
      <c r="AA36" s="1368">
        <f t="shared" si="11"/>
        <v>0</v>
      </c>
      <c r="AB36" s="1370">
        <f t="shared" si="12"/>
        <v>0</v>
      </c>
      <c r="AC36" s="1373">
        <f t="shared" si="13"/>
        <v>0</v>
      </c>
      <c r="AD36" s="48">
        <f t="shared" si="14"/>
        <v>580</v>
      </c>
    </row>
    <row r="37" spans="1:30" x14ac:dyDescent="0.2">
      <c r="A37" s="1362">
        <f t="shared" si="15"/>
        <v>150</v>
      </c>
      <c r="B37" s="1363">
        <v>723.12109999999996</v>
      </c>
      <c r="C37" s="1364">
        <v>109565.15300000001</v>
      </c>
      <c r="D37" s="1365">
        <v>1559.9998000000001</v>
      </c>
      <c r="E37" s="1366">
        <v>237534.04199999999</v>
      </c>
      <c r="F37" s="1367">
        <f t="shared" si="0"/>
        <v>5.2448260468492677E-3</v>
      </c>
      <c r="G37" s="1368">
        <f t="shared" si="1"/>
        <v>6.9531689613577027E-3</v>
      </c>
      <c r="H37" s="1369">
        <f t="shared" si="2"/>
        <v>1.1314740482776189E-2</v>
      </c>
      <c r="I37" s="1370">
        <f t="shared" si="3"/>
        <v>1.5074266615592977E-2</v>
      </c>
      <c r="J37" s="3">
        <f t="shared" si="4"/>
        <v>600</v>
      </c>
      <c r="K37" s="1371">
        <f t="shared" si="16"/>
        <v>150</v>
      </c>
      <c r="L37" s="1363">
        <v>629.95089999999902</v>
      </c>
      <c r="M37" s="1364">
        <v>95128.692999999999</v>
      </c>
      <c r="N37" s="1365">
        <v>35.081800000000001</v>
      </c>
      <c r="O37" s="1366">
        <v>5313.3860000000004</v>
      </c>
      <c r="P37" s="1367">
        <f t="shared" si="5"/>
        <v>8.5046284492579487E-3</v>
      </c>
      <c r="Q37" s="1368">
        <f t="shared" si="6"/>
        <v>1.6682271427718578E-2</v>
      </c>
      <c r="R37" s="1369">
        <f t="shared" si="7"/>
        <v>4.7362052237909019E-4</v>
      </c>
      <c r="S37" s="1370">
        <f t="shared" si="8"/>
        <v>9.3178350986321138E-4</v>
      </c>
      <c r="T37" s="3">
        <f t="shared" si="9"/>
        <v>600</v>
      </c>
      <c r="U37" s="1371">
        <f t="shared" si="17"/>
        <v>150</v>
      </c>
      <c r="V37" s="1365">
        <v>0</v>
      </c>
      <c r="W37" s="1364">
        <v>0</v>
      </c>
      <c r="X37" s="1365">
        <v>281.0324</v>
      </c>
      <c r="Y37" s="1372">
        <v>42846.199703999999</v>
      </c>
      <c r="Z37" s="1367">
        <f t="shared" si="10"/>
        <v>0</v>
      </c>
      <c r="AA37" s="1368">
        <f t="shared" si="11"/>
        <v>0</v>
      </c>
      <c r="AB37" s="1370">
        <f t="shared" si="12"/>
        <v>3.6239017026856619E-3</v>
      </c>
      <c r="AC37" s="1373">
        <f t="shared" si="13"/>
        <v>2.0267034141987533E-2</v>
      </c>
      <c r="AD37" s="48">
        <f t="shared" si="14"/>
        <v>600</v>
      </c>
    </row>
    <row r="38" spans="1:30" x14ac:dyDescent="0.2">
      <c r="A38" s="1362">
        <f t="shared" si="15"/>
        <v>155</v>
      </c>
      <c r="B38" s="1363">
        <v>613.6961</v>
      </c>
      <c r="C38" s="1364">
        <v>96251.414999999994</v>
      </c>
      <c r="D38" s="1365">
        <v>1971.7786000000001</v>
      </c>
      <c r="E38" s="1366">
        <v>311107.86800000002</v>
      </c>
      <c r="F38" s="1367">
        <f t="shared" si="0"/>
        <v>4.4511621775796791E-3</v>
      </c>
      <c r="G38" s="1368">
        <f t="shared" si="1"/>
        <v>6.1082591767544847E-3</v>
      </c>
      <c r="H38" s="1369">
        <f t="shared" si="2"/>
        <v>1.4301388467159904E-2</v>
      </c>
      <c r="I38" s="1370">
        <f t="shared" si="3"/>
        <v>1.974337197714468E-2</v>
      </c>
      <c r="J38" s="3">
        <f t="shared" si="4"/>
        <v>620</v>
      </c>
      <c r="K38" s="1371">
        <f t="shared" si="16"/>
        <v>155</v>
      </c>
      <c r="L38" s="1363">
        <v>274.59449999999998</v>
      </c>
      <c r="M38" s="1364">
        <v>43350.593999999997</v>
      </c>
      <c r="N38" s="1365">
        <v>70.278300000000002</v>
      </c>
      <c r="O38" s="1366">
        <v>11198.953</v>
      </c>
      <c r="P38" s="1367">
        <f t="shared" si="5"/>
        <v>3.7071527268391319E-3</v>
      </c>
      <c r="Q38" s="1368">
        <f t="shared" si="6"/>
        <v>7.6021897584657066E-3</v>
      </c>
      <c r="R38" s="1369">
        <f t="shared" si="7"/>
        <v>9.4878954779727413E-4</v>
      </c>
      <c r="S38" s="1370">
        <f t="shared" si="8"/>
        <v>1.9639077102874022E-3</v>
      </c>
      <c r="T38" s="3">
        <f t="shared" si="9"/>
        <v>620</v>
      </c>
      <c r="U38" s="1371">
        <f t="shared" si="17"/>
        <v>155</v>
      </c>
      <c r="V38" s="1365">
        <v>0</v>
      </c>
      <c r="W38" s="1364">
        <v>0</v>
      </c>
      <c r="X38" s="1365">
        <v>0</v>
      </c>
      <c r="Y38" s="1372">
        <v>0</v>
      </c>
      <c r="Z38" s="1367">
        <f t="shared" si="10"/>
        <v>0</v>
      </c>
      <c r="AA38" s="1368">
        <f t="shared" si="11"/>
        <v>0</v>
      </c>
      <c r="AB38" s="1370">
        <f t="shared" si="12"/>
        <v>0</v>
      </c>
      <c r="AC38" s="1373">
        <f t="shared" si="13"/>
        <v>0</v>
      </c>
      <c r="AD38" s="48">
        <f t="shared" si="14"/>
        <v>620</v>
      </c>
    </row>
    <row r="39" spans="1:30" x14ac:dyDescent="0.2">
      <c r="A39" s="1362">
        <f t="shared" si="15"/>
        <v>160</v>
      </c>
      <c r="B39" s="1363">
        <v>340.08229999999998</v>
      </c>
      <c r="C39" s="1364">
        <v>55036.735000000001</v>
      </c>
      <c r="D39" s="1365">
        <v>1121.9716999999901</v>
      </c>
      <c r="E39" s="1366">
        <v>182430.54699999999</v>
      </c>
      <c r="F39" s="1367">
        <f t="shared" si="0"/>
        <v>2.466630423469052E-3</v>
      </c>
      <c r="G39" s="1368">
        <f t="shared" si="1"/>
        <v>3.4927137603364558E-3</v>
      </c>
      <c r="H39" s="1369">
        <f t="shared" si="2"/>
        <v>8.1377052833719009E-3</v>
      </c>
      <c r="I39" s="1370">
        <f t="shared" si="3"/>
        <v>1.1577316165513933E-2</v>
      </c>
      <c r="J39" s="3">
        <f t="shared" si="4"/>
        <v>640</v>
      </c>
      <c r="K39" s="1371">
        <f t="shared" si="16"/>
        <v>160</v>
      </c>
      <c r="L39" s="1363">
        <v>213.9194</v>
      </c>
      <c r="M39" s="1364">
        <v>34938.305</v>
      </c>
      <c r="N39" s="1365">
        <v>74.229600000000005</v>
      </c>
      <c r="O39" s="1366">
        <v>11941.465</v>
      </c>
      <c r="P39" s="1367">
        <f t="shared" si="5"/>
        <v>2.8880108197133995E-3</v>
      </c>
      <c r="Q39" s="1368">
        <f t="shared" si="6"/>
        <v>6.1269662060259474E-3</v>
      </c>
      <c r="R39" s="1369">
        <f t="shared" si="7"/>
        <v>1.0021339249408785E-3</v>
      </c>
      <c r="S39" s="1370">
        <f t="shared" si="8"/>
        <v>2.0941185471201776E-3</v>
      </c>
      <c r="T39" s="3">
        <f t="shared" si="9"/>
        <v>640</v>
      </c>
      <c r="U39" s="1371">
        <f t="shared" si="17"/>
        <v>160</v>
      </c>
      <c r="V39" s="1365">
        <v>0</v>
      </c>
      <c r="W39" s="1364">
        <v>0</v>
      </c>
      <c r="X39" s="1365">
        <v>0</v>
      </c>
      <c r="Y39" s="1372">
        <v>0</v>
      </c>
      <c r="Z39" s="1367">
        <f t="shared" si="10"/>
        <v>0</v>
      </c>
      <c r="AA39" s="1368">
        <f t="shared" si="11"/>
        <v>0</v>
      </c>
      <c r="AB39" s="1370">
        <f t="shared" si="12"/>
        <v>0</v>
      </c>
      <c r="AC39" s="1373">
        <f t="shared" si="13"/>
        <v>0</v>
      </c>
      <c r="AD39" s="48">
        <f t="shared" si="14"/>
        <v>640</v>
      </c>
    </row>
    <row r="40" spans="1:30" x14ac:dyDescent="0.2">
      <c r="A40" s="1362">
        <f t="shared" si="15"/>
        <v>165</v>
      </c>
      <c r="B40" s="1363">
        <v>119.10169999999999</v>
      </c>
      <c r="C40" s="1364">
        <v>19996.532999999999</v>
      </c>
      <c r="D40" s="1365">
        <v>742.52219999999897</v>
      </c>
      <c r="E40" s="1366">
        <v>124668.71</v>
      </c>
      <c r="F40" s="1367">
        <f t="shared" si="0"/>
        <v>8.6384935854316432E-4</v>
      </c>
      <c r="G40" s="1368">
        <f t="shared" si="1"/>
        <v>1.2690099797548315E-3</v>
      </c>
      <c r="H40" s="1369">
        <f t="shared" si="2"/>
        <v>5.3855429953901437E-3</v>
      </c>
      <c r="I40" s="1370">
        <f t="shared" si="3"/>
        <v>7.9116633444988177E-3</v>
      </c>
      <c r="J40" s="3">
        <f t="shared" si="4"/>
        <v>660</v>
      </c>
      <c r="K40" s="1371">
        <f t="shared" si="16"/>
        <v>165</v>
      </c>
      <c r="L40" s="1363">
        <v>437.8252</v>
      </c>
      <c r="M40" s="1364">
        <v>72706.957999999999</v>
      </c>
      <c r="N40" s="1365">
        <v>106.1105</v>
      </c>
      <c r="O40" s="1366">
        <v>17575.824000000001</v>
      </c>
      <c r="P40" s="1367">
        <f t="shared" si="5"/>
        <v>5.9108426572960799E-3</v>
      </c>
      <c r="Q40" s="1368">
        <f t="shared" si="6"/>
        <v>1.2750277227499957E-2</v>
      </c>
      <c r="R40" s="1369">
        <f t="shared" si="7"/>
        <v>1.4325408171731908E-3</v>
      </c>
      <c r="S40" s="1370">
        <f t="shared" si="8"/>
        <v>3.0821895822095487E-3</v>
      </c>
      <c r="T40" s="3">
        <f t="shared" si="9"/>
        <v>660</v>
      </c>
      <c r="U40" s="1371">
        <f t="shared" si="17"/>
        <v>165</v>
      </c>
      <c r="V40" s="1365">
        <v>0</v>
      </c>
      <c r="W40" s="1364">
        <v>0</v>
      </c>
      <c r="X40" s="1365">
        <v>0</v>
      </c>
      <c r="Y40" s="1372">
        <v>0</v>
      </c>
      <c r="Z40" s="1367">
        <f t="shared" si="10"/>
        <v>0</v>
      </c>
      <c r="AA40" s="1368">
        <f t="shared" si="11"/>
        <v>0</v>
      </c>
      <c r="AB40" s="1370">
        <f t="shared" si="12"/>
        <v>0</v>
      </c>
      <c r="AC40" s="1373">
        <f t="shared" si="13"/>
        <v>0</v>
      </c>
      <c r="AD40" s="48">
        <f t="shared" si="14"/>
        <v>660</v>
      </c>
    </row>
    <row r="41" spans="1:30" x14ac:dyDescent="0.2">
      <c r="A41" s="1362">
        <f>+A40+5</f>
        <v>170</v>
      </c>
      <c r="B41" s="1363">
        <v>327.39609999999999</v>
      </c>
      <c r="C41" s="1364">
        <v>56817.536</v>
      </c>
      <c r="D41" s="1365">
        <v>676.35849999999903</v>
      </c>
      <c r="E41" s="1366">
        <v>117680.74099999999</v>
      </c>
      <c r="F41" s="1367">
        <f t="shared" si="0"/>
        <v>2.3746169112156558E-3</v>
      </c>
      <c r="G41" s="1368">
        <f t="shared" si="1"/>
        <v>3.6057260630670035E-3</v>
      </c>
      <c r="H41" s="1369">
        <f t="shared" si="2"/>
        <v>4.9056550525325496E-3</v>
      </c>
      <c r="I41" s="1370">
        <f t="shared" si="3"/>
        <v>7.4681963495343701E-3</v>
      </c>
      <c r="J41" s="3">
        <f t="shared" si="4"/>
        <v>680</v>
      </c>
      <c r="K41" s="1371">
        <f>+K40+5</f>
        <v>170</v>
      </c>
      <c r="L41" s="1363">
        <v>296.6361</v>
      </c>
      <c r="M41" s="1364">
        <v>51263.328000000001</v>
      </c>
      <c r="N41" s="1365"/>
      <c r="O41" s="1366"/>
      <c r="P41" s="1367">
        <f t="shared" si="5"/>
        <v>4.0047245192235299E-3</v>
      </c>
      <c r="Q41" s="1368">
        <f t="shared" si="6"/>
        <v>8.9898087003483351E-3</v>
      </c>
      <c r="R41" s="1369">
        <f t="shared" si="7"/>
        <v>0</v>
      </c>
      <c r="S41" s="1370">
        <f t="shared" si="8"/>
        <v>0</v>
      </c>
      <c r="T41" s="3">
        <f t="shared" si="9"/>
        <v>680</v>
      </c>
      <c r="U41" s="1371">
        <f>+U40+5</f>
        <v>170</v>
      </c>
      <c r="V41" s="1365">
        <v>0</v>
      </c>
      <c r="W41" s="1364">
        <v>0</v>
      </c>
      <c r="X41" s="1365">
        <v>0</v>
      </c>
      <c r="Y41" s="1372">
        <v>0</v>
      </c>
      <c r="Z41" s="1367">
        <f t="shared" si="10"/>
        <v>0</v>
      </c>
      <c r="AA41" s="1368">
        <f t="shared" si="11"/>
        <v>0</v>
      </c>
      <c r="AB41" s="1370">
        <f t="shared" si="12"/>
        <v>0</v>
      </c>
      <c r="AC41" s="1373">
        <f t="shared" si="13"/>
        <v>0</v>
      </c>
      <c r="AD41" s="48">
        <f t="shared" si="14"/>
        <v>680</v>
      </c>
    </row>
    <row r="42" spans="1:30" x14ac:dyDescent="0.2">
      <c r="A42" s="1362">
        <f>+A41+5</f>
        <v>175</v>
      </c>
      <c r="B42" s="1363">
        <v>301.10509999999999</v>
      </c>
      <c r="C42" s="1364">
        <v>53662.309000000001</v>
      </c>
      <c r="D42" s="1365">
        <v>196.8596</v>
      </c>
      <c r="E42" s="1366">
        <v>35231.584000000003</v>
      </c>
      <c r="F42" s="1367">
        <f t="shared" si="0"/>
        <v>2.1839272444396291E-3</v>
      </c>
      <c r="G42" s="1368">
        <f t="shared" si="1"/>
        <v>3.4054906246841648E-3</v>
      </c>
      <c r="H42" s="1369">
        <f t="shared" si="2"/>
        <v>1.427830494300786E-3</v>
      </c>
      <c r="I42" s="1370">
        <f t="shared" si="3"/>
        <v>2.2358491693820451E-3</v>
      </c>
      <c r="J42" s="3">
        <f t="shared" si="4"/>
        <v>700</v>
      </c>
      <c r="K42" s="1371">
        <f>+K41+5</f>
        <v>175</v>
      </c>
      <c r="L42" s="1363">
        <v>147.60910000000001</v>
      </c>
      <c r="M42" s="1364">
        <v>26569.651999999998</v>
      </c>
      <c r="N42" s="1365">
        <v>295.5718</v>
      </c>
      <c r="O42" s="1366">
        <v>53202.94</v>
      </c>
      <c r="P42" s="1367">
        <f t="shared" si="5"/>
        <v>1.9927911067820739E-3</v>
      </c>
      <c r="Q42" s="1368">
        <f t="shared" si="6"/>
        <v>4.6593948936523889E-3</v>
      </c>
      <c r="R42" s="1369">
        <f t="shared" si="7"/>
        <v>3.990355977074379E-3</v>
      </c>
      <c r="S42" s="1370">
        <f t="shared" si="8"/>
        <v>9.3299493332955376E-3</v>
      </c>
      <c r="T42" s="3">
        <f t="shared" si="9"/>
        <v>700</v>
      </c>
      <c r="U42" s="1371">
        <f>+U41+5</f>
        <v>175</v>
      </c>
      <c r="V42" s="1365">
        <v>0</v>
      </c>
      <c r="W42" s="1364">
        <v>0</v>
      </c>
      <c r="X42" s="1365">
        <v>37.982500000000002</v>
      </c>
      <c r="Y42" s="1372">
        <v>6677.3235000000004</v>
      </c>
      <c r="Z42" s="1367">
        <f t="shared" si="10"/>
        <v>0</v>
      </c>
      <c r="AA42" s="1368">
        <f t="shared" si="11"/>
        <v>0</v>
      </c>
      <c r="AB42" s="1370">
        <f t="shared" si="12"/>
        <v>4.897828379299261E-4</v>
      </c>
      <c r="AC42" s="1373">
        <f t="shared" si="13"/>
        <v>3.1584958359553582E-3</v>
      </c>
      <c r="AD42" s="48">
        <f t="shared" si="14"/>
        <v>700</v>
      </c>
    </row>
    <row r="43" spans="1:30" x14ac:dyDescent="0.2">
      <c r="A43" s="1362">
        <f>+A42+5</f>
        <v>180</v>
      </c>
      <c r="B43" s="1363">
        <v>63.163999999999902</v>
      </c>
      <c r="C43" s="1364">
        <v>11490.901</v>
      </c>
      <c r="D43" s="1365">
        <v>909.29669999999896</v>
      </c>
      <c r="E43" s="1366">
        <v>166679.00699999899</v>
      </c>
      <c r="F43" s="1367">
        <f t="shared" si="0"/>
        <v>4.5813099966684226E-4</v>
      </c>
      <c r="G43" s="1368">
        <f t="shared" si="1"/>
        <v>7.2922981425704012E-4</v>
      </c>
      <c r="H43" s="1369">
        <f t="shared" si="2"/>
        <v>6.5951650649857668E-3</v>
      </c>
      <c r="I43" s="1370">
        <f t="shared" si="3"/>
        <v>1.057769980919313E-2</v>
      </c>
      <c r="J43" s="3">
        <f t="shared" si="4"/>
        <v>720</v>
      </c>
      <c r="K43" s="1371">
        <f>+K42+5</f>
        <v>180</v>
      </c>
      <c r="L43" s="1363">
        <v>133.2072</v>
      </c>
      <c r="M43" s="1364">
        <v>24286.657999999999</v>
      </c>
      <c r="N43" s="1365">
        <v>44.600900000000003</v>
      </c>
      <c r="O43" s="1366">
        <v>8171.0789999999997</v>
      </c>
      <c r="P43" s="1367">
        <f t="shared" si="5"/>
        <v>1.7983587971157676E-3</v>
      </c>
      <c r="Q43" s="1368">
        <f t="shared" si="6"/>
        <v>4.2590369745558552E-3</v>
      </c>
      <c r="R43" s="1369">
        <f t="shared" si="7"/>
        <v>6.0213277416146162E-4</v>
      </c>
      <c r="S43" s="1370">
        <f t="shared" si="8"/>
        <v>1.4329236893366262E-3</v>
      </c>
      <c r="T43" s="3">
        <f t="shared" si="9"/>
        <v>720</v>
      </c>
      <c r="U43" s="1371">
        <f>+U42+5</f>
        <v>180</v>
      </c>
      <c r="V43" s="1365">
        <v>0</v>
      </c>
      <c r="W43" s="1364">
        <v>0</v>
      </c>
      <c r="X43" s="1365">
        <v>0</v>
      </c>
      <c r="Y43" s="1372">
        <v>0</v>
      </c>
      <c r="Z43" s="1367">
        <f t="shared" si="10"/>
        <v>0</v>
      </c>
      <c r="AA43" s="1368">
        <f t="shared" si="11"/>
        <v>0</v>
      </c>
      <c r="AB43" s="1370">
        <f t="shared" si="12"/>
        <v>0</v>
      </c>
      <c r="AC43" s="1373">
        <f t="shared" si="13"/>
        <v>0</v>
      </c>
      <c r="AD43" s="48">
        <f t="shared" si="14"/>
        <v>720</v>
      </c>
    </row>
    <row r="44" spans="1:30" x14ac:dyDescent="0.2">
      <c r="A44" s="1362">
        <f>+A43+5</f>
        <v>185</v>
      </c>
      <c r="B44" s="1363">
        <v>79.791499999999999</v>
      </c>
      <c r="C44" s="1364">
        <v>14877.198</v>
      </c>
      <c r="D44" s="1365">
        <v>885.30049999999903</v>
      </c>
      <c r="E44" s="1366">
        <v>165569.511</v>
      </c>
      <c r="F44" s="1367">
        <f t="shared" si="0"/>
        <v>5.7873091729334595E-4</v>
      </c>
      <c r="G44" s="1368">
        <f t="shared" si="1"/>
        <v>9.4412930145383806E-4</v>
      </c>
      <c r="H44" s="1369">
        <f t="shared" si="2"/>
        <v>6.4211196737153364E-3</v>
      </c>
      <c r="I44" s="1370">
        <f t="shared" si="3"/>
        <v>1.0507289528746177E-2</v>
      </c>
      <c r="J44" s="3">
        <f t="shared" si="4"/>
        <v>740</v>
      </c>
      <c r="K44" s="1371">
        <f>+K43+5</f>
        <v>185</v>
      </c>
      <c r="L44" s="1363">
        <v>226.9589</v>
      </c>
      <c r="M44" s="1364">
        <v>42361.958999999901</v>
      </c>
      <c r="N44" s="1365">
        <v>21.688600000000001</v>
      </c>
      <c r="O44" s="1366">
        <v>4111.3869999999997</v>
      </c>
      <c r="P44" s="1367">
        <f t="shared" si="5"/>
        <v>3.0640500993844013E-3</v>
      </c>
      <c r="Q44" s="1368">
        <f t="shared" si="6"/>
        <v>7.4288174888294135E-3</v>
      </c>
      <c r="R44" s="1369">
        <f t="shared" si="7"/>
        <v>2.9280612915161524E-4</v>
      </c>
      <c r="S44" s="1370">
        <f t="shared" si="8"/>
        <v>7.2099459916256383E-4</v>
      </c>
      <c r="T44" s="3">
        <f t="shared" si="9"/>
        <v>740</v>
      </c>
      <c r="U44" s="1371">
        <f>+U43+5</f>
        <v>185</v>
      </c>
      <c r="V44" s="1365">
        <v>0</v>
      </c>
      <c r="W44" s="1364">
        <v>0</v>
      </c>
      <c r="X44" s="1365">
        <v>0</v>
      </c>
      <c r="Y44" s="1372">
        <v>0</v>
      </c>
      <c r="Z44" s="1367">
        <f t="shared" si="10"/>
        <v>0</v>
      </c>
      <c r="AA44" s="1368">
        <f t="shared" si="11"/>
        <v>0</v>
      </c>
      <c r="AB44" s="1370">
        <f t="shared" si="12"/>
        <v>0</v>
      </c>
      <c r="AC44" s="1373">
        <f t="shared" si="13"/>
        <v>0</v>
      </c>
      <c r="AD44" s="48">
        <f t="shared" si="14"/>
        <v>740</v>
      </c>
    </row>
    <row r="45" spans="1:30" x14ac:dyDescent="0.2">
      <c r="A45" s="1362">
        <v>190</v>
      </c>
      <c r="B45" s="1363">
        <v>293.4556</v>
      </c>
      <c r="C45" s="1364">
        <v>56598.394999999997</v>
      </c>
      <c r="D45" s="1365">
        <v>449.40120000000002</v>
      </c>
      <c r="E45" s="1366">
        <v>86087.187999999995</v>
      </c>
      <c r="F45" s="1367">
        <f t="shared" si="0"/>
        <v>2.1284451172476921E-3</v>
      </c>
      <c r="G45" s="1368">
        <f t="shared" si="1"/>
        <v>3.5918190464870061E-3</v>
      </c>
      <c r="H45" s="1369">
        <f t="shared" si="2"/>
        <v>3.2595247452263765E-3</v>
      </c>
      <c r="I45" s="1370">
        <f t="shared" si="3"/>
        <v>5.4632220845998837E-3</v>
      </c>
      <c r="J45" s="3">
        <f t="shared" si="4"/>
        <v>760</v>
      </c>
      <c r="K45" s="1371">
        <v>190</v>
      </c>
      <c r="L45" s="1363">
        <v>125.16759999999999</v>
      </c>
      <c r="M45" s="1364">
        <v>23965.909</v>
      </c>
      <c r="N45" s="1365">
        <v>57.994100000000003</v>
      </c>
      <c r="O45" s="1366">
        <v>11086.1539999999</v>
      </c>
      <c r="P45" s="1367">
        <f t="shared" si="5"/>
        <v>1.6898204794775925E-3</v>
      </c>
      <c r="Q45" s="1368">
        <f t="shared" si="6"/>
        <v>4.2027887311560505E-3</v>
      </c>
      <c r="R45" s="1369">
        <f t="shared" si="7"/>
        <v>7.8294716738893657E-4</v>
      </c>
      <c r="S45" s="1370">
        <f t="shared" si="8"/>
        <v>1.9441266802381733E-3</v>
      </c>
      <c r="T45" s="3">
        <f t="shared" si="9"/>
        <v>760</v>
      </c>
      <c r="U45" s="1371">
        <v>190</v>
      </c>
      <c r="V45" s="1365">
        <v>0</v>
      </c>
      <c r="W45" s="1364">
        <v>0</v>
      </c>
      <c r="X45" s="1365">
        <v>0</v>
      </c>
      <c r="Y45" s="1372">
        <v>0</v>
      </c>
      <c r="Z45" s="1367">
        <f t="shared" si="10"/>
        <v>0</v>
      </c>
      <c r="AA45" s="1368">
        <f t="shared" si="11"/>
        <v>0</v>
      </c>
      <c r="AB45" s="1370">
        <f t="shared" si="12"/>
        <v>0</v>
      </c>
      <c r="AC45" s="1373">
        <f t="shared" si="13"/>
        <v>0</v>
      </c>
      <c r="AD45" s="48">
        <f t="shared" si="14"/>
        <v>760</v>
      </c>
    </row>
    <row r="46" spans="1:30" x14ac:dyDescent="0.2">
      <c r="A46" s="1362">
        <f>+A45+5</f>
        <v>195</v>
      </c>
      <c r="B46" s="1363">
        <v>60.568199999999997</v>
      </c>
      <c r="C46" s="1364">
        <v>12113.646000000001</v>
      </c>
      <c r="D46" s="1365">
        <v>687.35410000000002</v>
      </c>
      <c r="E46" s="1366">
        <v>136480.87</v>
      </c>
      <c r="F46" s="1367">
        <f t="shared" si="0"/>
        <v>4.3930355921127981E-4</v>
      </c>
      <c r="G46" s="1368">
        <f t="shared" si="1"/>
        <v>7.6875014609868611E-4</v>
      </c>
      <c r="H46" s="1369">
        <f t="shared" si="2"/>
        <v>4.9854065758676326E-3</v>
      </c>
      <c r="I46" s="1370">
        <f t="shared" si="3"/>
        <v>8.6612807367968132E-3</v>
      </c>
      <c r="J46" s="3">
        <f t="shared" si="4"/>
        <v>780</v>
      </c>
      <c r="K46" s="1371">
        <f>+K45+5</f>
        <v>195</v>
      </c>
      <c r="L46" s="1363"/>
      <c r="M46" s="1364"/>
      <c r="N46" s="1365">
        <v>23.808800000000002</v>
      </c>
      <c r="O46" s="1366">
        <v>4761.7839999999997</v>
      </c>
      <c r="P46" s="1367">
        <f t="shared" si="5"/>
        <v>0</v>
      </c>
      <c r="Q46" s="1368">
        <f t="shared" si="6"/>
        <v>0</v>
      </c>
      <c r="R46" s="1369">
        <f t="shared" si="7"/>
        <v>3.2142980956562328E-4</v>
      </c>
      <c r="S46" s="1370">
        <f t="shared" si="8"/>
        <v>8.3505166173330559E-4</v>
      </c>
      <c r="T46" s="3">
        <f t="shared" si="9"/>
        <v>780</v>
      </c>
      <c r="U46" s="1371">
        <f>+U45+5</f>
        <v>195</v>
      </c>
      <c r="V46" s="1365">
        <v>39.219499999999996</v>
      </c>
      <c r="W46" s="1364">
        <v>7843.9</v>
      </c>
      <c r="X46" s="1365">
        <v>0</v>
      </c>
      <c r="Y46" s="1372">
        <v>0</v>
      </c>
      <c r="Z46" s="1367">
        <f t="shared" si="10"/>
        <v>5.0573390409248292E-4</v>
      </c>
      <c r="AA46" s="1368">
        <f t="shared" si="11"/>
        <v>3.7103078033661591E-3</v>
      </c>
      <c r="AB46" s="1370">
        <f t="shared" si="12"/>
        <v>0</v>
      </c>
      <c r="AC46" s="1373">
        <f t="shared" si="13"/>
        <v>0</v>
      </c>
      <c r="AD46" s="48">
        <f t="shared" si="14"/>
        <v>780</v>
      </c>
    </row>
    <row r="47" spans="1:30" x14ac:dyDescent="0.2">
      <c r="A47" s="1362">
        <v>200</v>
      </c>
      <c r="B47" s="1363">
        <v>1036.2875999999901</v>
      </c>
      <c r="C47" s="1364">
        <v>251371.94899999999</v>
      </c>
      <c r="D47" s="1365">
        <v>3568.0746999999901</v>
      </c>
      <c r="E47" s="1366">
        <v>799398.59900000005</v>
      </c>
      <c r="F47" s="1367">
        <f t="shared" si="0"/>
        <v>7.5162351043371062E-3</v>
      </c>
      <c r="G47" s="1368">
        <f t="shared" si="1"/>
        <v>1.5952440951210019E-2</v>
      </c>
      <c r="H47" s="1369">
        <f t="shared" si="2"/>
        <v>2.5879387454831333E-2</v>
      </c>
      <c r="I47" s="1370">
        <f t="shared" si="3"/>
        <v>5.0731034221433824E-2</v>
      </c>
      <c r="J47" s="3">
        <f t="shared" si="4"/>
        <v>800</v>
      </c>
      <c r="K47" s="1371">
        <v>200</v>
      </c>
      <c r="L47" s="1363">
        <v>830.17509999999902</v>
      </c>
      <c r="M47" s="1364">
        <v>185944.334</v>
      </c>
      <c r="N47" s="1365">
        <v>392.31180000000001</v>
      </c>
      <c r="O47" s="1366">
        <v>86584.358999999997</v>
      </c>
      <c r="P47" s="1367">
        <f t="shared" si="5"/>
        <v>1.1207747736094297E-2</v>
      </c>
      <c r="Q47" s="1368">
        <f t="shared" si="6"/>
        <v>3.2608183213810787E-2</v>
      </c>
      <c r="R47" s="1369">
        <f t="shared" si="7"/>
        <v>5.2963907111801883E-3</v>
      </c>
      <c r="S47" s="1370">
        <f t="shared" si="8"/>
        <v>1.5183891764738403E-2</v>
      </c>
      <c r="T47" s="3">
        <f t="shared" si="9"/>
        <v>800</v>
      </c>
      <c r="U47" s="1371">
        <v>200</v>
      </c>
      <c r="V47" s="1365">
        <v>0</v>
      </c>
      <c r="W47" s="1364">
        <v>0</v>
      </c>
      <c r="X47" s="1365">
        <v>8.5482999999999993</v>
      </c>
      <c r="Y47" s="1372">
        <v>1923.3674999999998</v>
      </c>
      <c r="Z47" s="1367">
        <f t="shared" si="10"/>
        <v>0</v>
      </c>
      <c r="AA47" s="1368">
        <f t="shared" si="11"/>
        <v>0</v>
      </c>
      <c r="AB47" s="1370">
        <f t="shared" si="12"/>
        <v>1.1022999100839563E-4</v>
      </c>
      <c r="AC47" s="1373">
        <f t="shared" si="13"/>
        <v>9.0978791723388369E-4</v>
      </c>
      <c r="AD47" s="48">
        <f t="shared" si="14"/>
        <v>800</v>
      </c>
    </row>
    <row r="48" spans="1:30" ht="13.5" thickBot="1" x14ac:dyDescent="0.25">
      <c r="A48" s="1374">
        <v>212.5</v>
      </c>
      <c r="B48" s="1375">
        <v>0</v>
      </c>
      <c r="C48" s="1376">
        <v>0</v>
      </c>
      <c r="D48" s="1377">
        <v>0</v>
      </c>
      <c r="E48" s="1378">
        <v>0</v>
      </c>
      <c r="F48" s="1379">
        <f t="shared" si="0"/>
        <v>0</v>
      </c>
      <c r="G48" s="1380">
        <f t="shared" si="1"/>
        <v>0</v>
      </c>
      <c r="H48" s="1381">
        <f t="shared" si="2"/>
        <v>0</v>
      </c>
      <c r="I48" s="1382">
        <f t="shared" si="3"/>
        <v>0</v>
      </c>
      <c r="J48" s="3">
        <f t="shared" si="4"/>
        <v>850</v>
      </c>
      <c r="K48" s="1383">
        <v>212.5</v>
      </c>
      <c r="L48" s="1375">
        <v>0</v>
      </c>
      <c r="M48" s="1376">
        <v>0</v>
      </c>
      <c r="N48" s="1377">
        <v>0</v>
      </c>
      <c r="O48" s="1378">
        <v>0</v>
      </c>
      <c r="P48" s="1379">
        <f t="shared" si="5"/>
        <v>0</v>
      </c>
      <c r="Q48" s="1380">
        <f t="shared" si="6"/>
        <v>0</v>
      </c>
      <c r="R48" s="1381">
        <f t="shared" si="7"/>
        <v>0</v>
      </c>
      <c r="S48" s="1382">
        <f t="shared" si="8"/>
        <v>0</v>
      </c>
      <c r="T48" s="3">
        <f t="shared" si="9"/>
        <v>850</v>
      </c>
      <c r="U48" s="1383">
        <v>212.5</v>
      </c>
      <c r="V48" s="1377">
        <v>0</v>
      </c>
      <c r="W48" s="1376">
        <v>0</v>
      </c>
      <c r="X48" s="1377">
        <v>0</v>
      </c>
      <c r="Y48" s="1384">
        <v>0</v>
      </c>
      <c r="Z48" s="1379">
        <f t="shared" si="10"/>
        <v>0</v>
      </c>
      <c r="AA48" s="1380">
        <f t="shared" si="11"/>
        <v>0</v>
      </c>
      <c r="AB48" s="1382">
        <f t="shared" si="12"/>
        <v>0</v>
      </c>
      <c r="AC48" s="1385">
        <f t="shared" si="13"/>
        <v>0</v>
      </c>
      <c r="AD48" s="48">
        <f t="shared" si="14"/>
        <v>850</v>
      </c>
    </row>
    <row r="49" spans="1:29" ht="14.25" thickTop="1" thickBot="1" x14ac:dyDescent="0.25">
      <c r="A49" s="1386"/>
      <c r="B49" s="1387">
        <f t="shared" ref="B49:I49" si="18">SUM(B7:B48)</f>
        <v>32726.047499999982</v>
      </c>
      <c r="C49" s="1388">
        <f>SUM(C7:C48)</f>
        <v>3630255.7699999958</v>
      </c>
      <c r="D49" s="1388">
        <f t="shared" si="18"/>
        <v>105147.18099999987</v>
      </c>
      <c r="E49" s="1389">
        <f t="shared" si="18"/>
        <v>12127329.527999995</v>
      </c>
      <c r="F49" s="1390">
        <f t="shared" si="18"/>
        <v>0.23736332177062219</v>
      </c>
      <c r="G49" s="1391">
        <f t="shared" si="18"/>
        <v>0.23038147668861178</v>
      </c>
      <c r="H49" s="1391">
        <f t="shared" si="18"/>
        <v>0.76263667822937775</v>
      </c>
      <c r="I49" s="1392">
        <f t="shared" si="18"/>
        <v>0.76961852331138836</v>
      </c>
      <c r="K49" s="1386"/>
      <c r="L49" s="1387">
        <f t="shared" ref="L49:S49" si="19">SUM(L7:L48)</f>
        <v>43665.595499999908</v>
      </c>
      <c r="M49" s="1388">
        <f t="shared" si="19"/>
        <v>3504237.7709999941</v>
      </c>
      <c r="N49" s="1388">
        <f t="shared" si="19"/>
        <v>30405.941399999985</v>
      </c>
      <c r="O49" s="1389">
        <f t="shared" si="19"/>
        <v>2198144.7499999986</v>
      </c>
      <c r="P49" s="1390">
        <f t="shared" si="19"/>
        <v>0.58950573091186897</v>
      </c>
      <c r="Q49" s="1391">
        <f t="shared" si="19"/>
        <v>0.61452169476443308</v>
      </c>
      <c r="R49" s="1391">
        <f t="shared" si="19"/>
        <v>0.41049426908813103</v>
      </c>
      <c r="S49" s="1392">
        <f t="shared" si="19"/>
        <v>0.38547830523556731</v>
      </c>
      <c r="U49" s="1386"/>
      <c r="V49" s="1393">
        <f t="shared" ref="V49:AC49" si="20">SUM(V7:V48)</f>
        <v>29850.964499999998</v>
      </c>
      <c r="W49" s="1393">
        <f t="shared" si="20"/>
        <v>844213.30735720019</v>
      </c>
      <c r="X49" s="1393">
        <f t="shared" si="20"/>
        <v>47698.710699999989</v>
      </c>
      <c r="Y49" s="1393">
        <f t="shared" si="20"/>
        <v>1269870.0559916999</v>
      </c>
      <c r="Z49" s="1394">
        <f t="shared" si="20"/>
        <v>0.38492700869493779</v>
      </c>
      <c r="AA49" s="1395">
        <f t="shared" si="20"/>
        <v>0.39932829612730564</v>
      </c>
      <c r="AB49" s="1395">
        <f t="shared" si="20"/>
        <v>0.61507299130506243</v>
      </c>
      <c r="AC49" s="1396">
        <f t="shared" si="20"/>
        <v>0.60067170387269397</v>
      </c>
    </row>
    <row r="50" spans="1:29" x14ac:dyDescent="0.2">
      <c r="A50" s="1397"/>
      <c r="B50" s="1398"/>
      <c r="C50" s="1399" t="s">
        <v>10</v>
      </c>
      <c r="D50" s="1400"/>
      <c r="E50" s="1399" t="s">
        <v>17</v>
      </c>
      <c r="F50" s="1401"/>
      <c r="G50" s="1402" t="s">
        <v>361</v>
      </c>
      <c r="H50" s="1403">
        <f>(E51*1000)/C51</f>
        <v>114290.39175651137</v>
      </c>
      <c r="I50" s="1401"/>
      <c r="J50" s="74">
        <f>SUM(C7:C28,E7:E28)/E51</f>
        <v>0.28193734312603552</v>
      </c>
      <c r="K50" s="1397"/>
      <c r="L50" s="1398"/>
      <c r="M50" s="1399" t="s">
        <v>10</v>
      </c>
      <c r="N50" s="1400"/>
      <c r="O50" s="1399" t="s">
        <v>17</v>
      </c>
      <c r="P50" s="1401"/>
      <c r="Q50" s="1402" t="s">
        <v>361</v>
      </c>
      <c r="R50" s="1403">
        <f>(O51*1000)/M51</f>
        <v>76984.800905352895</v>
      </c>
      <c r="S50" s="1401"/>
      <c r="T50" s="48">
        <f>(AB50-H50)/H50</f>
        <v>-0.76147582411578907</v>
      </c>
      <c r="U50" s="1397"/>
      <c r="V50" s="1398"/>
      <c r="W50" s="1399" t="s">
        <v>10</v>
      </c>
      <c r="X50" s="1400"/>
      <c r="Y50" s="1399" t="s">
        <v>17</v>
      </c>
      <c r="Z50" s="1401"/>
      <c r="AA50" s="1402" t="s">
        <v>361</v>
      </c>
      <c r="AB50" s="1403">
        <f>(Y51*1000)/W51</f>
        <v>27261.021505205488</v>
      </c>
      <c r="AC50" s="1401"/>
    </row>
    <row r="51" spans="1:29" x14ac:dyDescent="0.2">
      <c r="A51" s="1402" t="s">
        <v>18</v>
      </c>
      <c r="C51" s="1403">
        <f>B49+D49</f>
        <v>137873.22849999985</v>
      </c>
      <c r="E51" s="1403">
        <f>C49+E49</f>
        <v>15757585.297999991</v>
      </c>
      <c r="G51" s="1402" t="s">
        <v>360</v>
      </c>
      <c r="H51" s="1404">
        <f>H50/OPDAYS_Cls1</f>
        <v>457.16156702604547</v>
      </c>
      <c r="K51" s="1402" t="s">
        <v>18</v>
      </c>
      <c r="M51" s="1403">
        <f>+L49+N49</f>
        <v>74071.53689999989</v>
      </c>
      <c r="O51" s="1403">
        <f>+M49+O49</f>
        <v>5702382.5209999923</v>
      </c>
      <c r="Q51" s="1402" t="s">
        <v>360</v>
      </c>
      <c r="R51" s="1404">
        <f>R50/OPDAYS_Cls1</f>
        <v>307.93920362141159</v>
      </c>
      <c r="U51" s="1402" t="s">
        <v>18</v>
      </c>
      <c r="W51" s="1403">
        <f>+V49+X49</f>
        <v>77549.675199999983</v>
      </c>
      <c r="Y51" s="1403">
        <f>W49+Y49</f>
        <v>2114083.3633489003</v>
      </c>
      <c r="AA51" s="1402" t="s">
        <v>360</v>
      </c>
      <c r="AB51" s="1404">
        <f>AB50/OPDAYS_Cls1</f>
        <v>109.04408602082195</v>
      </c>
    </row>
    <row r="52" spans="1:29" x14ac:dyDescent="0.2">
      <c r="C52" s="1405">
        <f>C51/($C51+$M51+$W51)</f>
        <v>0.47625518546831802</v>
      </c>
      <c r="D52" s="50"/>
      <c r="E52" s="1406">
        <f>E51/($E51+$O51+$Y51)</f>
        <v>0.66842924773992651</v>
      </c>
      <c r="M52" s="1405">
        <f>M51/($C51+$M51+$W51)</f>
        <v>0.25586514458267617</v>
      </c>
      <c r="N52" s="50"/>
      <c r="O52" s="1406">
        <f>O51/($E51+$O51+$Y51)</f>
        <v>0.24189234497249509</v>
      </c>
      <c r="W52" s="1405">
        <f>W51/($C51+$M51+$W51)</f>
        <v>0.26787966994900575</v>
      </c>
      <c r="X52" s="50"/>
      <c r="Y52" s="1406">
        <f>Y51/($E51+$O51+$Y51)</f>
        <v>8.967840728757831E-2</v>
      </c>
    </row>
    <row r="53" spans="1:29" s="73" customFormat="1" ht="16.5" thickBot="1" x14ac:dyDescent="0.3">
      <c r="A53" s="1407" t="s">
        <v>235</v>
      </c>
      <c r="K53" s="1407" t="s">
        <v>236</v>
      </c>
      <c r="L53" s="1408"/>
      <c r="M53" s="1409"/>
      <c r="U53" s="1407" t="s">
        <v>155</v>
      </c>
      <c r="V53" s="1408"/>
      <c r="W53" s="1409"/>
    </row>
    <row r="54" spans="1:29" ht="18.75" customHeight="1" x14ac:dyDescent="0.2">
      <c r="A54" s="1410" t="str">
        <f>A2</f>
        <v>Vehicle Age 2 or Less</v>
      </c>
      <c r="B54" s="1411"/>
      <c r="C54" s="1412"/>
      <c r="D54" s="1413"/>
      <c r="E54" s="1413"/>
      <c r="F54" s="1413"/>
      <c r="G54" s="1413"/>
      <c r="H54" s="1414"/>
      <c r="K54" s="1410" t="str">
        <f>K2</f>
        <v>Vehicle Age 2 or Less</v>
      </c>
      <c r="L54" s="1411"/>
      <c r="M54" s="1412"/>
      <c r="N54" s="1413"/>
      <c r="O54" s="1413"/>
      <c r="P54" s="1413"/>
      <c r="Q54" s="1413"/>
      <c r="R54" s="1414"/>
      <c r="U54" s="1410" t="str">
        <f>U2</f>
        <v>Vehicle Age 2 or Less</v>
      </c>
      <c r="V54" s="1411"/>
      <c r="W54" s="1412"/>
      <c r="X54" s="1413"/>
      <c r="Y54" s="1413"/>
      <c r="Z54" s="1413"/>
      <c r="AA54" s="1413"/>
      <c r="AB54" s="1414"/>
    </row>
    <row r="55" spans="1:29" ht="51" x14ac:dyDescent="0.2">
      <c r="A55" s="75" t="s">
        <v>12</v>
      </c>
      <c r="B55" s="76" t="s">
        <v>19</v>
      </c>
      <c r="C55" s="77"/>
      <c r="D55" s="78" t="s">
        <v>20</v>
      </c>
      <c r="E55" s="77"/>
      <c r="F55" s="76" t="s">
        <v>21</v>
      </c>
      <c r="G55" s="77"/>
      <c r="H55" s="79" t="s">
        <v>22</v>
      </c>
      <c r="K55" s="75" t="s">
        <v>12</v>
      </c>
      <c r="L55" s="76" t="s">
        <v>19</v>
      </c>
      <c r="M55" s="77"/>
      <c r="N55" s="78" t="s">
        <v>20</v>
      </c>
      <c r="O55" s="77"/>
      <c r="P55" s="76" t="s">
        <v>21</v>
      </c>
      <c r="Q55" s="77"/>
      <c r="R55" s="79" t="s">
        <v>22</v>
      </c>
      <c r="U55" s="75" t="s">
        <v>12</v>
      </c>
      <c r="V55" s="76" t="s">
        <v>19</v>
      </c>
      <c r="W55" s="77"/>
      <c r="X55" s="78" t="s">
        <v>20</v>
      </c>
      <c r="Y55" s="77"/>
      <c r="Z55" s="76" t="s">
        <v>21</v>
      </c>
      <c r="AA55" s="77"/>
      <c r="AB55" s="79" t="s">
        <v>22</v>
      </c>
    </row>
    <row r="56" spans="1:29" x14ac:dyDescent="0.2">
      <c r="A56" s="1415">
        <v>0</v>
      </c>
      <c r="B56" s="1416">
        <f>+IF(B$60=0,0,B7/B$60)</f>
        <v>0</v>
      </c>
      <c r="C56" s="1416"/>
      <c r="D56" s="1416">
        <f>+IF(D$60=0,0,D7/D$60)</f>
        <v>4.3751717282066518E-2</v>
      </c>
      <c r="E56" s="1416"/>
      <c r="F56" s="1417">
        <f>+$A56*B56</f>
        <v>0</v>
      </c>
      <c r="G56" s="1417"/>
      <c r="H56" s="1418">
        <f>$A56*D56</f>
        <v>0</v>
      </c>
      <c r="I56" s="80"/>
      <c r="K56" s="1415">
        <v>0</v>
      </c>
      <c r="L56" s="1416">
        <f>+IF(L$60=0,0,L7/L$60)</f>
        <v>0.15541812247233677</v>
      </c>
      <c r="M56" s="1416"/>
      <c r="N56" s="1416">
        <f>+IF(N$60=0,0,N7/N$60)</f>
        <v>0.110529045647715</v>
      </c>
      <c r="O56" s="1416"/>
      <c r="P56" s="1417">
        <f>$A56*L56</f>
        <v>0</v>
      </c>
      <c r="Q56" s="1417"/>
      <c r="R56" s="1418">
        <f>$A56*N56</f>
        <v>0</v>
      </c>
      <c r="S56" s="80"/>
      <c r="U56" s="1415">
        <v>0</v>
      </c>
      <c r="V56" s="1416">
        <f>+IF(V$60=0,0,V7/V$60)</f>
        <v>0.12405949528356905</v>
      </c>
      <c r="W56" s="1416"/>
      <c r="X56" s="1416">
        <f>+IF(X$60=0,0,X7/X$60)</f>
        <v>0.15531833928852937</v>
      </c>
      <c r="Y56" s="1416"/>
      <c r="Z56" s="1417">
        <f>$A56*V56</f>
        <v>0</v>
      </c>
      <c r="AA56" s="1417"/>
      <c r="AB56" s="1418">
        <f>$A56*X56</f>
        <v>0</v>
      </c>
      <c r="AC56" s="80"/>
    </row>
    <row r="57" spans="1:29" x14ac:dyDescent="0.2">
      <c r="A57" s="1415">
        <v>5</v>
      </c>
      <c r="B57" s="1416">
        <f>+IF(B$60=0,0,B8/B$60)</f>
        <v>0.2911915742039683</v>
      </c>
      <c r="C57" s="1416"/>
      <c r="D57" s="1416">
        <f>+IF(D$60=0,0,D8/D$60)</f>
        <v>0.30815745837946085</v>
      </c>
      <c r="E57" s="1416"/>
      <c r="F57" s="1417">
        <f>+$A57*B57</f>
        <v>1.4559578710198415</v>
      </c>
      <c r="G57" s="1417"/>
      <c r="H57" s="1418">
        <f>$A57*D57</f>
        <v>1.5407872918973042</v>
      </c>
      <c r="I57" s="80"/>
      <c r="K57" s="1415">
        <v>5</v>
      </c>
      <c r="L57" s="1416">
        <f>+IF(L$60=0,0,L8/L$60)</f>
        <v>0.13521844874480565</v>
      </c>
      <c r="M57" s="1416"/>
      <c r="N57" s="1416">
        <f>+IF(N$60=0,0,N8/N$60)</f>
        <v>0.14760723682164251</v>
      </c>
      <c r="O57" s="1416"/>
      <c r="P57" s="1417">
        <f>$A57*L57</f>
        <v>0.67609224372402821</v>
      </c>
      <c r="Q57" s="1417"/>
      <c r="R57" s="1418">
        <f>$A57*N57</f>
        <v>0.73803618410821259</v>
      </c>
      <c r="S57" s="80"/>
      <c r="U57" s="1415">
        <v>5</v>
      </c>
      <c r="V57" s="1416">
        <f>+IF(V$60=0,0,V8/V$60)</f>
        <v>0.25383674408009116</v>
      </c>
      <c r="W57" s="1416"/>
      <c r="X57" s="1416">
        <f>+IF(X$60=0,0,X8/X$60)</f>
        <v>0.29172881879244317</v>
      </c>
      <c r="Y57" s="1416"/>
      <c r="Z57" s="1417">
        <f>$A57*V57</f>
        <v>1.2691837204004557</v>
      </c>
      <c r="AA57" s="1417"/>
      <c r="AB57" s="1418">
        <f>$A57*X57</f>
        <v>1.4586440939622158</v>
      </c>
      <c r="AC57" s="80"/>
    </row>
    <row r="58" spans="1:29" x14ac:dyDescent="0.2">
      <c r="A58" s="1415">
        <f>+A57+5</f>
        <v>10</v>
      </c>
      <c r="B58" s="1416">
        <f>+IF(B$60=0,0,B9/B$60)</f>
        <v>0.39141831878219335</v>
      </c>
      <c r="C58" s="1416"/>
      <c r="D58" s="1416">
        <f>+IF(D$60=0,0,D9/D$60)</f>
        <v>0.40820128316602833</v>
      </c>
      <c r="E58" s="1416"/>
      <c r="F58" s="1417">
        <f>+$A58*B58</f>
        <v>3.9141831878219335</v>
      </c>
      <c r="G58" s="1417"/>
      <c r="H58" s="1418">
        <f>$A58*D58</f>
        <v>4.0820128316602835</v>
      </c>
      <c r="I58" s="80"/>
      <c r="K58" s="1415">
        <f>+K57+5</f>
        <v>10</v>
      </c>
      <c r="L58" s="1416">
        <f>+IF(L$60=0,0,L9/L$60)</f>
        <v>0.34480078374191914</v>
      </c>
      <c r="M58" s="1416"/>
      <c r="N58" s="1416">
        <f>+IF(N$60=0,0,N9/N$60)</f>
        <v>0.32271323383202416</v>
      </c>
      <c r="O58" s="1416"/>
      <c r="P58" s="1417">
        <f>$A58*L58</f>
        <v>3.4480078374191914</v>
      </c>
      <c r="Q58" s="1417"/>
      <c r="R58" s="1418">
        <f>$A58*N58</f>
        <v>3.2271323383202417</v>
      </c>
      <c r="S58" s="80"/>
      <c r="U58" s="1415">
        <f>+U57+5</f>
        <v>10</v>
      </c>
      <c r="V58" s="1416">
        <f>+IF(V$60=0,0,V9/V$60)</f>
        <v>0.31809005167175075</v>
      </c>
      <c r="W58" s="1416"/>
      <c r="X58" s="1416">
        <f>+IF(X$60=0,0,X9/X$60)</f>
        <v>0.27768714506180159</v>
      </c>
      <c r="Y58" s="1416"/>
      <c r="Z58" s="1417">
        <f>$A58*V58</f>
        <v>3.1809005167175073</v>
      </c>
      <c r="AA58" s="1417"/>
      <c r="AB58" s="1418">
        <f>$A58*X58</f>
        <v>2.7768714506180157</v>
      </c>
      <c r="AC58" s="80"/>
    </row>
    <row r="59" spans="1:29" ht="13.5" thickBot="1" x14ac:dyDescent="0.25">
      <c r="A59" s="1415">
        <f>+A58+5</f>
        <v>15</v>
      </c>
      <c r="B59" s="1419">
        <f>+IF(B$60=0,0,B10/B$60)</f>
        <v>0.31739010701383846</v>
      </c>
      <c r="C59" s="1416"/>
      <c r="D59" s="1419">
        <f>+IF(D$60=0,0,D10/D$60)</f>
        <v>0.23988954117244424</v>
      </c>
      <c r="E59" s="1416"/>
      <c r="F59" s="1420">
        <f>+$A59*B59</f>
        <v>4.7608516052075771</v>
      </c>
      <c r="G59" s="1417"/>
      <c r="H59" s="1421">
        <f>$A59*D59</f>
        <v>3.5983431175866634</v>
      </c>
      <c r="I59" s="80"/>
      <c r="K59" s="1415">
        <f>+K58+5</f>
        <v>15</v>
      </c>
      <c r="L59" s="1419">
        <f>+IF(L$60=0,0,L10/L$60)</f>
        <v>0.3645626450409386</v>
      </c>
      <c r="M59" s="1416"/>
      <c r="N59" s="1419">
        <f>+IF(N$60=0,0,N10/N$60)</f>
        <v>0.41915048369861824</v>
      </c>
      <c r="O59" s="1416"/>
      <c r="P59" s="1420">
        <f>$A59*L59</f>
        <v>5.4684396756140794</v>
      </c>
      <c r="Q59" s="1417"/>
      <c r="R59" s="1421">
        <f>$A59*N59</f>
        <v>6.2872572554792736</v>
      </c>
      <c r="S59" s="80"/>
      <c r="U59" s="1415">
        <f>+U58+5</f>
        <v>15</v>
      </c>
      <c r="V59" s="1419">
        <f>+IF(V$60=0,0,V10/V$60)</f>
        <v>0.30401370896458901</v>
      </c>
      <c r="W59" s="1416"/>
      <c r="X59" s="1419">
        <f>+IF(X$60=0,0,X10/X$60)</f>
        <v>0.27526569685722591</v>
      </c>
      <c r="Y59" s="1416"/>
      <c r="Z59" s="1420">
        <f>$A59*V59</f>
        <v>4.5602056344688355</v>
      </c>
      <c r="AA59" s="1417"/>
      <c r="AB59" s="1421">
        <f>$A59*X59</f>
        <v>4.1289854528583882</v>
      </c>
      <c r="AC59" s="80"/>
    </row>
    <row r="60" spans="1:29" ht="13.5" thickTop="1" x14ac:dyDescent="0.2">
      <c r="A60" s="1422" t="s">
        <v>18</v>
      </c>
      <c r="B60" s="1423">
        <f>SUM(B7:B10)</f>
        <v>1095.5499</v>
      </c>
      <c r="C60" s="1424"/>
      <c r="D60" s="1425">
        <f>SUM(D7:D10)</f>
        <v>1787.3447000000001</v>
      </c>
      <c r="E60" s="1426" t="s">
        <v>23</v>
      </c>
      <c r="F60" s="1427">
        <f>+SUM(F56:F59)</f>
        <v>10.130992664049352</v>
      </c>
      <c r="G60" s="1428"/>
      <c r="H60" s="1429">
        <f>SUM(H56:H59)</f>
        <v>9.2211432411442509</v>
      </c>
      <c r="I60" s="80"/>
      <c r="K60" s="1422" t="s">
        <v>18</v>
      </c>
      <c r="L60" s="1423">
        <f>SUM(L7:L10)</f>
        <v>2930.2502999999897</v>
      </c>
      <c r="M60" s="1424"/>
      <c r="N60" s="1425">
        <f>SUM(N7:N10)</f>
        <v>3411.2047000000002</v>
      </c>
      <c r="O60" s="1426" t="s">
        <v>23</v>
      </c>
      <c r="P60" s="1427">
        <f>SUM(P56:P59)</f>
        <v>9.592539756757299</v>
      </c>
      <c r="Q60" s="1428"/>
      <c r="R60" s="1429">
        <f>SUM(R56:R59)</f>
        <v>10.252425777907728</v>
      </c>
      <c r="S60" s="80"/>
      <c r="U60" s="1422" t="s">
        <v>18</v>
      </c>
      <c r="V60" s="1423">
        <f>SUM(V7:V10)</f>
        <v>12788.186800000001</v>
      </c>
      <c r="W60" s="1424"/>
      <c r="X60" s="1425">
        <f>SUM(X7:X10)</f>
        <v>21189.674799999993</v>
      </c>
      <c r="Y60" s="1426" t="s">
        <v>23</v>
      </c>
      <c r="Z60" s="1427">
        <f>SUM(Z56:Z59)</f>
        <v>9.0102898715867994</v>
      </c>
      <c r="AA60" s="1428"/>
      <c r="AB60" s="1429">
        <f>SUM(AB56:AB59)</f>
        <v>8.3645009974386184</v>
      </c>
      <c r="AC60" s="80"/>
    </row>
    <row r="61" spans="1:29" x14ac:dyDescent="0.2">
      <c r="A61" s="1415"/>
      <c r="B61" s="1416"/>
      <c r="C61" s="1416"/>
      <c r="D61" s="1416"/>
      <c r="E61" s="1416"/>
      <c r="F61" s="1417"/>
      <c r="G61" s="1417"/>
      <c r="H61" s="1418"/>
      <c r="K61" s="1415"/>
      <c r="L61" s="1416"/>
      <c r="M61" s="1416"/>
      <c r="N61" s="1416"/>
      <c r="O61" s="1416"/>
      <c r="P61" s="1417"/>
      <c r="Q61" s="1417"/>
      <c r="R61" s="1418"/>
      <c r="U61" s="1415"/>
      <c r="V61" s="1416"/>
      <c r="W61" s="1416"/>
      <c r="X61" s="1416"/>
      <c r="Y61" s="1416"/>
      <c r="Z61" s="1417"/>
      <c r="AA61" s="1417"/>
      <c r="AB61" s="1418"/>
    </row>
    <row r="62" spans="1:29" x14ac:dyDescent="0.2">
      <c r="A62" s="1415">
        <f>+A59+5</f>
        <v>20</v>
      </c>
      <c r="B62" s="1416">
        <f>+IF(B$66=0,0,B11/B$66)</f>
        <v>0.52253059961921522</v>
      </c>
      <c r="C62" s="1416"/>
      <c r="D62" s="1416">
        <f>+IF(D$66=0,0,D11/D$66)</f>
        <v>0.41385862428817594</v>
      </c>
      <c r="E62" s="1416"/>
      <c r="F62" s="1417">
        <f>$A62*B62</f>
        <v>10.450611992384305</v>
      </c>
      <c r="G62" s="1417"/>
      <c r="H62" s="1418">
        <f>$A62*D62</f>
        <v>8.2771724857635185</v>
      </c>
      <c r="I62" s="80"/>
      <c r="K62" s="1415">
        <f>+K59+5</f>
        <v>20</v>
      </c>
      <c r="L62" s="1416">
        <f>+IF(L$66=0,0,L11/L$66)</f>
        <v>0.29074903480578279</v>
      </c>
      <c r="M62" s="1416"/>
      <c r="N62" s="1416">
        <f>+IF(N$66=0,0,N11/N$66)</f>
        <v>0.17733511294729579</v>
      </c>
      <c r="O62" s="1416"/>
      <c r="P62" s="1417">
        <f>$A62*L62</f>
        <v>5.814980696115656</v>
      </c>
      <c r="Q62" s="1417"/>
      <c r="R62" s="1418">
        <f>$A62*N62</f>
        <v>3.5467022589459156</v>
      </c>
      <c r="S62" s="80"/>
      <c r="U62" s="1415">
        <f>+U59+5</f>
        <v>20</v>
      </c>
      <c r="V62" s="1416">
        <f>+IF(V$66=0,0,V11/V$66)</f>
        <v>0.276265876658294</v>
      </c>
      <c r="W62" s="1416"/>
      <c r="X62" s="1416">
        <f>+IF(X$66=0,0,X11/X$66)</f>
        <v>0.31980375695841073</v>
      </c>
      <c r="Y62" s="1416"/>
      <c r="Z62" s="1417">
        <f>$A62*V62</f>
        <v>5.5253175331658797</v>
      </c>
      <c r="AA62" s="1417"/>
      <c r="AB62" s="1418">
        <f>$A62*X62</f>
        <v>6.3960751391682145</v>
      </c>
      <c r="AC62" s="80"/>
    </row>
    <row r="63" spans="1:29" x14ac:dyDescent="0.2">
      <c r="A63" s="1415">
        <f>+A62+5</f>
        <v>25</v>
      </c>
      <c r="B63" s="1416">
        <f>+IF(B$66=0,0,B12/B$66)</f>
        <v>0.10862820965621772</v>
      </c>
      <c r="C63" s="1416"/>
      <c r="D63" s="1416">
        <f>+IF(D$66=0,0,D12/D$66)</f>
        <v>0.21764095381970816</v>
      </c>
      <c r="E63" s="1416"/>
      <c r="F63" s="1417">
        <f>$A63*B63</f>
        <v>2.715705241405443</v>
      </c>
      <c r="G63" s="1417"/>
      <c r="H63" s="1418">
        <f>$A63*D63</f>
        <v>5.4410238454927038</v>
      </c>
      <c r="I63" s="80"/>
      <c r="K63" s="1415">
        <f>+K62+5</f>
        <v>25</v>
      </c>
      <c r="L63" s="1416">
        <f>+IF(L$66=0,0,L12/L$66)</f>
        <v>0.21984157529840001</v>
      </c>
      <c r="M63" s="1416"/>
      <c r="N63" s="1416">
        <f>+IF(N$66=0,0,N12/N$66)</f>
        <v>0.22708608729480176</v>
      </c>
      <c r="O63" s="1416"/>
      <c r="P63" s="1417">
        <f>$A63*L63</f>
        <v>5.4960393824600002</v>
      </c>
      <c r="Q63" s="1417"/>
      <c r="R63" s="1418">
        <f>$A63*N63</f>
        <v>5.6771521823700439</v>
      </c>
      <c r="S63" s="80"/>
      <c r="U63" s="1415">
        <f>+U62+5</f>
        <v>25</v>
      </c>
      <c r="V63" s="1416">
        <f>+IF(V$66=0,0,V12/V$66)</f>
        <v>0.36455984330646807</v>
      </c>
      <c r="W63" s="1416"/>
      <c r="X63" s="1416">
        <f>+IF(X$66=0,0,X12/X$66)</f>
        <v>0.31859581094667105</v>
      </c>
      <c r="Y63" s="1416"/>
      <c r="Z63" s="1417">
        <f>$A63*V63</f>
        <v>9.1139960826617017</v>
      </c>
      <c r="AA63" s="1417"/>
      <c r="AB63" s="1418">
        <f>$A63*X63</f>
        <v>7.9648952736667766</v>
      </c>
      <c r="AC63" s="80"/>
    </row>
    <row r="64" spans="1:29" x14ac:dyDescent="0.2">
      <c r="A64" s="1415">
        <f>+A63+5</f>
        <v>30</v>
      </c>
      <c r="B64" s="1416">
        <f>+IF(B$66=0,0,B13/B$66)</f>
        <v>0.13198432069196178</v>
      </c>
      <c r="C64" s="1416"/>
      <c r="D64" s="1416">
        <f>+IF(D$66=0,0,D13/D$66)</f>
        <v>0.23681178268565467</v>
      </c>
      <c r="E64" s="1416"/>
      <c r="F64" s="1417">
        <f>$A64*B64</f>
        <v>3.9595296207588535</v>
      </c>
      <c r="G64" s="1417"/>
      <c r="H64" s="1418">
        <f>$A64*D64</f>
        <v>7.1043534805696398</v>
      </c>
      <c r="I64" s="80"/>
      <c r="K64" s="1415">
        <f>+K63+5</f>
        <v>30</v>
      </c>
      <c r="L64" s="1416">
        <f>+IF(L$66=0,0,L13/L$66)</f>
        <v>0.26602976552983865</v>
      </c>
      <c r="M64" s="1416"/>
      <c r="N64" s="1416">
        <f>+IF(N$66=0,0,N13/N$66)</f>
        <v>0.28686438824413957</v>
      </c>
      <c r="O64" s="1416"/>
      <c r="P64" s="1417">
        <f>$A64*L64</f>
        <v>7.9808929658951593</v>
      </c>
      <c r="Q64" s="1417"/>
      <c r="R64" s="1418">
        <f>$A64*N64</f>
        <v>8.6059316473241871</v>
      </c>
      <c r="S64" s="80"/>
      <c r="U64" s="1415">
        <f>+U63+5</f>
        <v>30</v>
      </c>
      <c r="V64" s="1416">
        <f>+IF(V$66=0,0,V13/V$66)</f>
        <v>0.22176882447673099</v>
      </c>
      <c r="W64" s="1416"/>
      <c r="X64" s="1416">
        <f>+IF(X$66=0,0,X13/X$66)</f>
        <v>0.23198026442149067</v>
      </c>
      <c r="Y64" s="1416"/>
      <c r="Z64" s="1417">
        <f>$A64*V64</f>
        <v>6.65306473430193</v>
      </c>
      <c r="AA64" s="1417"/>
      <c r="AB64" s="1418">
        <f>$A64*X64</f>
        <v>6.9594079326447202</v>
      </c>
      <c r="AC64" s="80"/>
    </row>
    <row r="65" spans="1:29" ht="13.5" thickBot="1" x14ac:dyDescent="0.25">
      <c r="A65" s="1415">
        <f>+A64+5</f>
        <v>35</v>
      </c>
      <c r="B65" s="1419">
        <f>+IF(B$66=0,0,B14/B$66)</f>
        <v>0.23685687003260533</v>
      </c>
      <c r="C65" s="1416"/>
      <c r="D65" s="1419">
        <f>+IF(D$66=0,0,D14/D$66)</f>
        <v>0.13168863920646129</v>
      </c>
      <c r="E65" s="1416"/>
      <c r="F65" s="1420">
        <f>$A65*B65</f>
        <v>8.2899904511411862</v>
      </c>
      <c r="G65" s="1417"/>
      <c r="H65" s="1421">
        <f>$A65*D65</f>
        <v>4.6091023722261451</v>
      </c>
      <c r="I65" s="80"/>
      <c r="K65" s="1415">
        <f>+K64+5</f>
        <v>35</v>
      </c>
      <c r="L65" s="1419">
        <f>+IF(L$66=0,0,L14/L$66)</f>
        <v>0.22337962436597855</v>
      </c>
      <c r="M65" s="1416"/>
      <c r="N65" s="1419">
        <f>+IF(N$66=0,0,N14/N$66)</f>
        <v>0.30871441151376289</v>
      </c>
      <c r="O65" s="1416"/>
      <c r="P65" s="1420">
        <f>$A65*L65</f>
        <v>7.8182868528092495</v>
      </c>
      <c r="Q65" s="1417"/>
      <c r="R65" s="1421">
        <f>$A65*N65</f>
        <v>10.805004402981702</v>
      </c>
      <c r="S65" s="80"/>
      <c r="U65" s="1415">
        <f>+U64+5</f>
        <v>35</v>
      </c>
      <c r="V65" s="1419">
        <f>+IF(V$66=0,0,V14/V$66)</f>
        <v>0.13740545555850689</v>
      </c>
      <c r="W65" s="1416"/>
      <c r="X65" s="1419">
        <f>+IF(X$66=0,0,X14/X$66)</f>
        <v>0.12962016767342766</v>
      </c>
      <c r="Y65" s="1416"/>
      <c r="Z65" s="1420">
        <f>$A65*V65</f>
        <v>4.8091909445477414</v>
      </c>
      <c r="AA65" s="1417"/>
      <c r="AB65" s="1421">
        <f>$A65*X65</f>
        <v>4.5367058685699675</v>
      </c>
      <c r="AC65" s="80"/>
    </row>
    <row r="66" spans="1:29" ht="13.5" thickTop="1" x14ac:dyDescent="0.2">
      <c r="A66" s="1422" t="s">
        <v>18</v>
      </c>
      <c r="B66" s="1423">
        <f>SUM(B11:B14)</f>
        <v>684.06079999999986</v>
      </c>
      <c r="C66" s="1424"/>
      <c r="D66" s="1425">
        <f>SUM(D11:D14)</f>
        <v>3286.5036999999998</v>
      </c>
      <c r="E66" s="1426" t="s">
        <v>23</v>
      </c>
      <c r="F66" s="1427">
        <f>SUM(F62:F65)</f>
        <v>25.415837305689788</v>
      </c>
      <c r="G66" s="1428"/>
      <c r="H66" s="1429">
        <f>SUM(H62:H65)</f>
        <v>25.431652184052005</v>
      </c>
      <c r="I66" s="80"/>
      <c r="K66" s="1422" t="s">
        <v>18</v>
      </c>
      <c r="L66" s="1423">
        <f>SUM(L11:L14)</f>
        <v>6640.5805999999802</v>
      </c>
      <c r="M66" s="1424"/>
      <c r="N66" s="1425">
        <f>SUM(N11:N14)</f>
        <v>4965.2716</v>
      </c>
      <c r="O66" s="1426" t="s">
        <v>23</v>
      </c>
      <c r="P66" s="1427">
        <f>SUM(P62:P65)</f>
        <v>27.110199897280062</v>
      </c>
      <c r="Q66" s="1428"/>
      <c r="R66" s="1429">
        <f>SUM(R62:R65)</f>
        <v>28.63479049162185</v>
      </c>
      <c r="S66" s="80"/>
      <c r="U66" s="1422" t="s">
        <v>18</v>
      </c>
      <c r="V66" s="1423">
        <f>SUM(V11:V14)</f>
        <v>10973.318300000001</v>
      </c>
      <c r="W66" s="1424"/>
      <c r="X66" s="1425">
        <f>SUM(X11:X14)</f>
        <v>19860.821399999993</v>
      </c>
      <c r="Y66" s="1426" t="s">
        <v>23</v>
      </c>
      <c r="Z66" s="1427">
        <f>SUM(Z62:Z65)</f>
        <v>26.101569294677251</v>
      </c>
      <c r="AA66" s="1428"/>
      <c r="AB66" s="1429">
        <f>SUM(AB62:AB65)</f>
        <v>25.857084214049678</v>
      </c>
      <c r="AC66" s="80"/>
    </row>
    <row r="67" spans="1:29" x14ac:dyDescent="0.2">
      <c r="A67" s="1415"/>
      <c r="B67" s="1416"/>
      <c r="C67" s="1416"/>
      <c r="D67" s="1416"/>
      <c r="E67" s="1416"/>
      <c r="F67" s="1417"/>
      <c r="G67" s="1417"/>
      <c r="H67" s="1418"/>
      <c r="K67" s="1415"/>
      <c r="L67" s="1416"/>
      <c r="M67" s="1416"/>
      <c r="N67" s="1416"/>
      <c r="O67" s="1416"/>
      <c r="P67" s="1417"/>
      <c r="Q67" s="1417"/>
      <c r="R67" s="1418"/>
      <c r="U67" s="1415"/>
      <c r="V67" s="1416"/>
      <c r="W67" s="1416"/>
      <c r="X67" s="1416"/>
      <c r="Y67" s="1416"/>
      <c r="Z67" s="1417"/>
      <c r="AA67" s="1417"/>
      <c r="AB67" s="1418"/>
    </row>
    <row r="68" spans="1:29" x14ac:dyDescent="0.2">
      <c r="A68" s="1415">
        <f>+A65+5</f>
        <v>40</v>
      </c>
      <c r="B68" s="1416">
        <f>+IF(B$72=0,0,B15/B$72)</f>
        <v>0.30891741172684672</v>
      </c>
      <c r="C68" s="1416"/>
      <c r="D68" s="1416">
        <f>+IF(D$72=0,0,D15/D$72)</f>
        <v>8.9682502689701293E-2</v>
      </c>
      <c r="E68" s="1416"/>
      <c r="F68" s="1417">
        <f>$A68*B68</f>
        <v>12.356696469073869</v>
      </c>
      <c r="G68" s="1417"/>
      <c r="H68" s="1418">
        <f>$A68*D68</f>
        <v>3.5873001075880517</v>
      </c>
      <c r="I68" s="80"/>
      <c r="K68" s="1415">
        <f>+K65+5</f>
        <v>40</v>
      </c>
      <c r="L68" s="1416">
        <f>+IF(L$72=0,0,L15/L$72)</f>
        <v>0.20348033698609222</v>
      </c>
      <c r="M68" s="1416"/>
      <c r="N68" s="1416">
        <f>+IF(N$72=0,0,N15/N$72)</f>
        <v>0.11419439165289745</v>
      </c>
      <c r="O68" s="1416"/>
      <c r="P68" s="1417">
        <f>$A68*L68</f>
        <v>8.1392134794436881</v>
      </c>
      <c r="Q68" s="1417"/>
      <c r="R68" s="1418">
        <f>$A68*N68</f>
        <v>4.5677756661158977</v>
      </c>
      <c r="S68" s="80"/>
      <c r="U68" s="1415">
        <f>+U65+5</f>
        <v>40</v>
      </c>
      <c r="V68" s="1416">
        <f>+IF(V$72=0,0,V15/V$72)</f>
        <v>0.39951075358308419</v>
      </c>
      <c r="W68" s="1416"/>
      <c r="X68" s="1416">
        <f>+IF(X$72=0,0,X15/X$72)</f>
        <v>0.39778628247031034</v>
      </c>
      <c r="Y68" s="1416"/>
      <c r="Z68" s="1417">
        <f>$A68*V68</f>
        <v>15.980430143323368</v>
      </c>
      <c r="AA68" s="1417"/>
      <c r="AB68" s="1418">
        <f>$A68*X68</f>
        <v>15.911451298812413</v>
      </c>
      <c r="AC68" s="80"/>
    </row>
    <row r="69" spans="1:29" x14ac:dyDescent="0.2">
      <c r="A69" s="1415">
        <f>+A68+5</f>
        <v>45</v>
      </c>
      <c r="B69" s="1416">
        <f>+IF(B$72=0,0,B16/B$72)</f>
        <v>0.15008250864412565</v>
      </c>
      <c r="C69" s="1416"/>
      <c r="D69" s="1416">
        <f>+IF(D$72=0,0,D16/D$72)</f>
        <v>0.28278167441039442</v>
      </c>
      <c r="E69" s="1416"/>
      <c r="F69" s="1417">
        <f>$A69*B69</f>
        <v>6.7537128889856541</v>
      </c>
      <c r="G69" s="1417"/>
      <c r="H69" s="1418">
        <f>$A69*D69</f>
        <v>12.725175348467749</v>
      </c>
      <c r="I69" s="80"/>
      <c r="K69" s="1415">
        <f>+K68+5</f>
        <v>45</v>
      </c>
      <c r="L69" s="1416">
        <f>+IF(L$72=0,0,L16/L$72)</f>
        <v>0.3582945040127673</v>
      </c>
      <c r="M69" s="1416"/>
      <c r="N69" s="1416">
        <f>+IF(N$72=0,0,N16/N$72)</f>
        <v>0.25890083391820234</v>
      </c>
      <c r="O69" s="1416"/>
      <c r="P69" s="1417">
        <f>$A69*L69</f>
        <v>16.123252680574527</v>
      </c>
      <c r="Q69" s="1417"/>
      <c r="R69" s="1418">
        <f>$A69*N69</f>
        <v>11.650537526319106</v>
      </c>
      <c r="S69" s="80"/>
      <c r="U69" s="1415">
        <f>+U68+5</f>
        <v>45</v>
      </c>
      <c r="V69" s="1416">
        <f>+IF(V$72=0,0,V16/V$72)</f>
        <v>0.36193577557168</v>
      </c>
      <c r="W69" s="1416"/>
      <c r="X69" s="1416">
        <f>+IF(X$72=0,0,X16/X$72)</f>
        <v>0.23160072511945498</v>
      </c>
      <c r="Y69" s="1416"/>
      <c r="Z69" s="1417">
        <f>$A69*V69</f>
        <v>16.2871099007256</v>
      </c>
      <c r="AA69" s="1417"/>
      <c r="AB69" s="1418">
        <f>$A69*X69</f>
        <v>10.422032630375474</v>
      </c>
      <c r="AC69" s="80"/>
    </row>
    <row r="70" spans="1:29" x14ac:dyDescent="0.2">
      <c r="A70" s="1415">
        <f>+A69+5</f>
        <v>50</v>
      </c>
      <c r="B70" s="1416">
        <f>+IF(B$72=0,0,B17/B$72)</f>
        <v>0.23007678223086478</v>
      </c>
      <c r="C70" s="1416"/>
      <c r="D70" s="1416">
        <f>+IF(D$72=0,0,D17/D$72)</f>
        <v>0.18403958532893663</v>
      </c>
      <c r="E70" s="1416"/>
      <c r="F70" s="1417">
        <f>$A70*B70</f>
        <v>11.50383911154324</v>
      </c>
      <c r="G70" s="1417"/>
      <c r="H70" s="1418">
        <f>$A70*D70</f>
        <v>9.2019792664468323</v>
      </c>
      <c r="I70" s="80"/>
      <c r="K70" s="1415">
        <f>+K69+5</f>
        <v>50</v>
      </c>
      <c r="L70" s="1416">
        <f>+IF(L$72=0,0,L17/L$72)</f>
        <v>0.22384048413348379</v>
      </c>
      <c r="M70" s="1416"/>
      <c r="N70" s="1416">
        <f>+IF(N$72=0,0,N17/N$72)</f>
        <v>0.36408316616290953</v>
      </c>
      <c r="O70" s="1416"/>
      <c r="P70" s="1417">
        <f>$A70*L70</f>
        <v>11.192024206674189</v>
      </c>
      <c r="Q70" s="1417"/>
      <c r="R70" s="1418">
        <f>$A70*N70</f>
        <v>18.204158308145477</v>
      </c>
      <c r="S70" s="80"/>
      <c r="U70" s="1415">
        <f>+U69+5</f>
        <v>50</v>
      </c>
      <c r="V70" s="1416">
        <f>+IF(V$72=0,0,V17/V$72)</f>
        <v>0.14492021016428441</v>
      </c>
      <c r="W70" s="1416"/>
      <c r="X70" s="1416">
        <f>+IF(X$72=0,0,X17/X$72)</f>
        <v>0.14639622652584694</v>
      </c>
      <c r="Y70" s="1416"/>
      <c r="Z70" s="1417">
        <f>$A70*V70</f>
        <v>7.246010508214221</v>
      </c>
      <c r="AA70" s="1417"/>
      <c r="AB70" s="1418">
        <f>$A70*X70</f>
        <v>7.3198113262923474</v>
      </c>
      <c r="AC70" s="80"/>
    </row>
    <row r="71" spans="1:29" ht="13.5" thickBot="1" x14ac:dyDescent="0.25">
      <c r="A71" s="1415">
        <f>+A70+5</f>
        <v>55</v>
      </c>
      <c r="B71" s="1419">
        <f>+IF(B$72=0,0,B18/B$72)</f>
        <v>0.31092329739816282</v>
      </c>
      <c r="C71" s="1416"/>
      <c r="D71" s="1419">
        <f>+IF(D$72=0,0,D18/D$72)</f>
        <v>0.44349623757096757</v>
      </c>
      <c r="E71" s="1416"/>
      <c r="F71" s="1420">
        <f>$A71*B71</f>
        <v>17.100781356898956</v>
      </c>
      <c r="G71" s="1417"/>
      <c r="H71" s="1421">
        <f>$A71*D71</f>
        <v>24.392293066403216</v>
      </c>
      <c r="I71" s="80"/>
      <c r="K71" s="1415">
        <f>+K70+5</f>
        <v>55</v>
      </c>
      <c r="L71" s="1419">
        <f>+IF(L$72=0,0,L18/L$72)</f>
        <v>0.21438467486765667</v>
      </c>
      <c r="M71" s="1416"/>
      <c r="N71" s="1419">
        <f>+IF(N$72=0,0,N18/N$72)</f>
        <v>0.26282160826599071</v>
      </c>
      <c r="O71" s="1416"/>
      <c r="P71" s="1420">
        <f>$A71*L71</f>
        <v>11.791157117721117</v>
      </c>
      <c r="Q71" s="1417"/>
      <c r="R71" s="1421">
        <f>$A71*N71</f>
        <v>14.455188454629489</v>
      </c>
      <c r="S71" s="80"/>
      <c r="U71" s="1415">
        <f>+U70+5</f>
        <v>55</v>
      </c>
      <c r="V71" s="1419">
        <f>+IF(V$72=0,0,V18/V$72)</f>
        <v>9.3633260680951402E-2</v>
      </c>
      <c r="W71" s="1416"/>
      <c r="X71" s="1419">
        <f>+IF(X$72=0,0,X18/X$72)</f>
        <v>0.22421676588438777</v>
      </c>
      <c r="Y71" s="1416"/>
      <c r="Z71" s="1420">
        <f>$A71*V71</f>
        <v>5.149829337452327</v>
      </c>
      <c r="AA71" s="1417"/>
      <c r="AB71" s="1421">
        <f>$A71*X71</f>
        <v>12.331922123641327</v>
      </c>
      <c r="AC71" s="80"/>
    </row>
    <row r="72" spans="1:29" ht="13.5" thickTop="1" x14ac:dyDescent="0.2">
      <c r="A72" s="1422" t="s">
        <v>18</v>
      </c>
      <c r="B72" s="1423">
        <f>SUM(B15:B18)</f>
        <v>1279.684099999999</v>
      </c>
      <c r="C72" s="1424"/>
      <c r="D72" s="1425">
        <f>SUM(D15:D18)</f>
        <v>3552.8111999999901</v>
      </c>
      <c r="E72" s="1426" t="s">
        <v>23</v>
      </c>
      <c r="F72" s="1427">
        <f>SUM(F68:F71)</f>
        <v>47.71502982650172</v>
      </c>
      <c r="G72" s="1428"/>
      <c r="H72" s="1429">
        <f>SUM(H68:H71)</f>
        <v>49.906747788905847</v>
      </c>
      <c r="I72" s="80"/>
      <c r="K72" s="1422" t="s">
        <v>18</v>
      </c>
      <c r="L72" s="1423">
        <f>SUM(L15:L18)</f>
        <v>6804.0078000000003</v>
      </c>
      <c r="M72" s="1424"/>
      <c r="N72" s="1425">
        <f>SUM(N15:N18)</f>
        <v>4615.8483999999999</v>
      </c>
      <c r="O72" s="1426" t="s">
        <v>23</v>
      </c>
      <c r="P72" s="1427">
        <f>SUM(P68:P71)</f>
        <v>47.245647484413524</v>
      </c>
      <c r="Q72" s="1428"/>
      <c r="R72" s="1429">
        <f>SUM(R68:R71)</f>
        <v>48.877659955209978</v>
      </c>
      <c r="S72" s="80"/>
      <c r="U72" s="1422" t="s">
        <v>18</v>
      </c>
      <c r="V72" s="1423">
        <f>SUM(V15:V18)</f>
        <v>3942.8393000000001</v>
      </c>
      <c r="W72" s="1424"/>
      <c r="X72" s="1425">
        <f>SUM(X15:X18)</f>
        <v>3611.6532000000002</v>
      </c>
      <c r="Y72" s="1426" t="s">
        <v>23</v>
      </c>
      <c r="Z72" s="1427">
        <f>SUM(Z68:Z71)</f>
        <v>44.663379889715515</v>
      </c>
      <c r="AA72" s="1428"/>
      <c r="AB72" s="1429">
        <f>SUM(AB68:AB71)</f>
        <v>45.985217379121558</v>
      </c>
      <c r="AC72" s="80"/>
    </row>
    <row r="73" spans="1:29" x14ac:dyDescent="0.2">
      <c r="A73" s="1415"/>
      <c r="B73" s="337"/>
      <c r="C73" s="337"/>
      <c r="D73" s="337"/>
      <c r="E73" s="337"/>
      <c r="F73" s="1417"/>
      <c r="G73" s="1417"/>
      <c r="H73" s="1418"/>
      <c r="K73" s="1415"/>
      <c r="L73" s="337"/>
      <c r="M73" s="337"/>
      <c r="N73" s="337"/>
      <c r="O73" s="337"/>
      <c r="P73" s="1417"/>
      <c r="Q73" s="1417"/>
      <c r="R73" s="1418"/>
      <c r="U73" s="1415"/>
      <c r="V73" s="337"/>
      <c r="W73" s="337"/>
      <c r="X73" s="337"/>
      <c r="Y73" s="337"/>
      <c r="Z73" s="1417"/>
      <c r="AA73" s="1417"/>
      <c r="AB73" s="1418"/>
    </row>
    <row r="74" spans="1:29" x14ac:dyDescent="0.2">
      <c r="A74" s="1415">
        <f>+A71+5</f>
        <v>60</v>
      </c>
      <c r="B74" s="1416">
        <f>+IF(B$78=0,0,B19/B$78)</f>
        <v>5.4261963211542572E-2</v>
      </c>
      <c r="C74" s="1416"/>
      <c r="D74" s="1416">
        <f>+IF(D$78=0,0,D19/D$78)</f>
        <v>0.24604102608429562</v>
      </c>
      <c r="E74" s="1416"/>
      <c r="F74" s="1417">
        <f>$A74*B74</f>
        <v>3.2557177926925545</v>
      </c>
      <c r="G74" s="1417"/>
      <c r="H74" s="1418">
        <f>$A74*D74</f>
        <v>14.762461565057738</v>
      </c>
      <c r="I74" s="80"/>
      <c r="K74" s="1415">
        <f>+K71+5</f>
        <v>60</v>
      </c>
      <c r="L74" s="1416">
        <f>+IF(L$78=0,0,L19/L$78)</f>
        <v>0.29717873417173074</v>
      </c>
      <c r="M74" s="1416"/>
      <c r="N74" s="1416">
        <f>+IF(N$78=0,0,N19/N$78)</f>
        <v>0.10279997697191685</v>
      </c>
      <c r="O74" s="1416"/>
      <c r="P74" s="1417">
        <f>$A74*L74</f>
        <v>17.830724050303843</v>
      </c>
      <c r="Q74" s="1417"/>
      <c r="R74" s="1418">
        <f>$A74*N74</f>
        <v>6.1679986183150115</v>
      </c>
      <c r="S74" s="80"/>
      <c r="U74" s="1415">
        <f>+U71+5</f>
        <v>60</v>
      </c>
      <c r="V74" s="1416">
        <f>+IF(V$78=0,0,V19/V$78)</f>
        <v>0.17661583080045945</v>
      </c>
      <c r="W74" s="1416"/>
      <c r="X74" s="1416">
        <f>+IF(X$78=0,0,X19/X$78)</f>
        <v>0.10973689510799231</v>
      </c>
      <c r="Y74" s="1416"/>
      <c r="Z74" s="1417">
        <f>$A74*V74</f>
        <v>10.596949848027567</v>
      </c>
      <c r="AA74" s="1417"/>
      <c r="AB74" s="1418">
        <f>$A74*X74</f>
        <v>6.584213706479539</v>
      </c>
      <c r="AC74" s="80"/>
    </row>
    <row r="75" spans="1:29" x14ac:dyDescent="0.2">
      <c r="A75" s="1415">
        <f>+A74+5</f>
        <v>65</v>
      </c>
      <c r="B75" s="1416">
        <f>+IF(B$78=0,0,B20/B$78)</f>
        <v>0.2500871300618473</v>
      </c>
      <c r="C75" s="1416"/>
      <c r="D75" s="1416">
        <f>+IF(D$78=0,0,D20/D$78)</f>
        <v>9.928937383880633E-2</v>
      </c>
      <c r="E75" s="1416"/>
      <c r="F75" s="1417">
        <f>$A75*B75</f>
        <v>16.255663454020073</v>
      </c>
      <c r="G75" s="1417"/>
      <c r="H75" s="1418">
        <f>$A75*D75</f>
        <v>6.4538092995224119</v>
      </c>
      <c r="I75" s="80"/>
      <c r="K75" s="1415">
        <f>+K74+5</f>
        <v>65</v>
      </c>
      <c r="L75" s="1416">
        <f>+IF(L$78=0,0,L20/L$78)</f>
        <v>0.15597354394563173</v>
      </c>
      <c r="M75" s="1416"/>
      <c r="N75" s="1416">
        <f>+IF(N$78=0,0,N20/N$78)</f>
        <v>0.33637063227071728</v>
      </c>
      <c r="O75" s="1416"/>
      <c r="P75" s="1417">
        <f>$A75*L75</f>
        <v>10.138280356466062</v>
      </c>
      <c r="Q75" s="1417"/>
      <c r="R75" s="1418">
        <f>$A75*N75</f>
        <v>21.864091097596624</v>
      </c>
      <c r="S75" s="80"/>
      <c r="U75" s="1415">
        <f>+U74+5</f>
        <v>65</v>
      </c>
      <c r="V75" s="1416">
        <f>+IF(V$78=0,0,V20/V$78)</f>
        <v>0.24863255031145265</v>
      </c>
      <c r="W75" s="1416"/>
      <c r="X75" s="1416">
        <f>+IF(X$78=0,0,X20/X$78)</f>
        <v>0.49446557360122528</v>
      </c>
      <c r="Y75" s="1416"/>
      <c r="Z75" s="1417">
        <f>$A75*V75</f>
        <v>16.161115770244422</v>
      </c>
      <c r="AA75" s="1417"/>
      <c r="AB75" s="1418">
        <f>$A75*X75</f>
        <v>32.140262284079647</v>
      </c>
      <c r="AC75" s="80"/>
    </row>
    <row r="76" spans="1:29" x14ac:dyDescent="0.2">
      <c r="A76" s="1415">
        <f>+A75+5</f>
        <v>70</v>
      </c>
      <c r="B76" s="1416">
        <f>+IF(B$78=0,0,B21/B$78)</f>
        <v>0.34244083200740699</v>
      </c>
      <c r="C76" s="1416"/>
      <c r="D76" s="1416">
        <f>+IF(D$78=0,0,D21/D$78)</f>
        <v>0.28947796948037768</v>
      </c>
      <c r="E76" s="1416"/>
      <c r="F76" s="1417">
        <f>$A76*B76</f>
        <v>23.970858240518488</v>
      </c>
      <c r="G76" s="1417"/>
      <c r="H76" s="1418">
        <f>$A76*D76</f>
        <v>20.263457863626439</v>
      </c>
      <c r="I76" s="80"/>
      <c r="K76" s="1415">
        <f>+K75+5</f>
        <v>70</v>
      </c>
      <c r="L76" s="1416">
        <f>+IF(L$78=0,0,L21/L$78)</f>
        <v>0.30596300601123944</v>
      </c>
      <c r="M76" s="1416"/>
      <c r="N76" s="1416">
        <f>+IF(N$78=0,0,N21/N$78)</f>
        <v>0.2800436439609077</v>
      </c>
      <c r="O76" s="1416"/>
      <c r="P76" s="1417">
        <f>$A76*L76</f>
        <v>21.417410420786762</v>
      </c>
      <c r="Q76" s="1417"/>
      <c r="R76" s="1418">
        <f>$A76*N76</f>
        <v>19.603055077263537</v>
      </c>
      <c r="S76" s="80"/>
      <c r="U76" s="1415">
        <f>+U75+5</f>
        <v>70</v>
      </c>
      <c r="V76" s="1416">
        <f>+IF(V$78=0,0,V21/V$78)</f>
        <v>0.46099583022106755</v>
      </c>
      <c r="W76" s="1416"/>
      <c r="X76" s="1416">
        <f>+IF(X$78=0,0,X21/X$78)</f>
        <v>4.2105862604162499E-2</v>
      </c>
      <c r="Y76" s="1416"/>
      <c r="Z76" s="1417">
        <f>$A76*V76</f>
        <v>32.269708115474728</v>
      </c>
      <c r="AA76" s="1417"/>
      <c r="AB76" s="1418">
        <f>$A76*X76</f>
        <v>2.9474103822913751</v>
      </c>
      <c r="AC76" s="80"/>
    </row>
    <row r="77" spans="1:29" ht="13.5" thickBot="1" x14ac:dyDescent="0.25">
      <c r="A77" s="1415">
        <f>+A76+5</f>
        <v>75</v>
      </c>
      <c r="B77" s="1419">
        <f>+IF(B$78=0,0,B22/B$78)</f>
        <v>0.35321007471920318</v>
      </c>
      <c r="C77" s="1416"/>
      <c r="D77" s="1419">
        <f>+IF(D$78=0,0,D22/D$78)</f>
        <v>0.36519163059652021</v>
      </c>
      <c r="E77" s="1416"/>
      <c r="F77" s="1420">
        <f>$A77*B77</f>
        <v>26.49075560394024</v>
      </c>
      <c r="G77" s="1417"/>
      <c r="H77" s="1421">
        <f>$A77*D77</f>
        <v>27.389372294739015</v>
      </c>
      <c r="I77" s="80"/>
      <c r="K77" s="1415">
        <f>+K76+5</f>
        <v>75</v>
      </c>
      <c r="L77" s="1419">
        <f>+IF(L$78=0,0,L22/L$78)</f>
        <v>0.2408847158713982</v>
      </c>
      <c r="M77" s="1416"/>
      <c r="N77" s="1419">
        <f>+IF(N$78=0,0,N22/N$78)</f>
        <v>0.28078574679645824</v>
      </c>
      <c r="O77" s="1416"/>
      <c r="P77" s="1420">
        <f>$A77*L77</f>
        <v>18.066353690354866</v>
      </c>
      <c r="Q77" s="1417"/>
      <c r="R77" s="1421">
        <f>$A77*N77</f>
        <v>21.058931009734369</v>
      </c>
      <c r="S77" s="80"/>
      <c r="U77" s="1415">
        <f>+U76+5</f>
        <v>75</v>
      </c>
      <c r="V77" s="1419">
        <f>+IF(V$78=0,0,V22/V$78)</f>
        <v>0.11375578866702046</v>
      </c>
      <c r="W77" s="1416"/>
      <c r="X77" s="1419">
        <f>+IF(X$78=0,0,X22/X$78)</f>
        <v>0.35369166868661978</v>
      </c>
      <c r="Y77" s="1416"/>
      <c r="Z77" s="1420">
        <f>$A77*V77</f>
        <v>8.5316841500265355</v>
      </c>
      <c r="AA77" s="1417"/>
      <c r="AB77" s="1421">
        <f>$A77*X77</f>
        <v>26.526875151496483</v>
      </c>
      <c r="AC77" s="80"/>
    </row>
    <row r="78" spans="1:29" ht="13.5" thickTop="1" x14ac:dyDescent="0.2">
      <c r="A78" s="1422" t="s">
        <v>18</v>
      </c>
      <c r="B78" s="1423">
        <f>SUM(B19:B22)</f>
        <v>4251.116</v>
      </c>
      <c r="C78" s="1424"/>
      <c r="D78" s="1425">
        <f>SUM(D19:D22)</f>
        <v>7991.8813999999711</v>
      </c>
      <c r="E78" s="1426" t="s">
        <v>23</v>
      </c>
      <c r="F78" s="1427">
        <f>SUM(F74:F77)</f>
        <v>69.972995091171356</v>
      </c>
      <c r="G78" s="1428"/>
      <c r="H78" s="1429">
        <f>SUM(H74:H77)</f>
        <v>68.8691010229456</v>
      </c>
      <c r="I78" s="80"/>
      <c r="K78" s="1422" t="s">
        <v>18</v>
      </c>
      <c r="L78" s="1423">
        <f>SUM(L19:L22)</f>
        <v>6867.5697999999793</v>
      </c>
      <c r="M78" s="1424"/>
      <c r="N78" s="1425">
        <f>SUM(N19:N22)</f>
        <v>5118.9670999999998</v>
      </c>
      <c r="O78" s="1426" t="s">
        <v>23</v>
      </c>
      <c r="P78" s="1427">
        <f>SUM(P74:P77)</f>
        <v>67.452768517911522</v>
      </c>
      <c r="Q78" s="1428"/>
      <c r="R78" s="1429">
        <f>SUM(R74:R77)</f>
        <v>68.694075802909538</v>
      </c>
      <c r="S78" s="80"/>
      <c r="U78" s="1422" t="s">
        <v>18</v>
      </c>
      <c r="V78" s="1423">
        <f>SUM(V19:V22)</f>
        <v>1356.5946999999999</v>
      </c>
      <c r="W78" s="1424"/>
      <c r="X78" s="1425">
        <f>SUM(X19:X22)</f>
        <v>1766.5426000000002</v>
      </c>
      <c r="Y78" s="1426" t="s">
        <v>23</v>
      </c>
      <c r="Z78" s="1427">
        <f>SUM(Z74:Z77)</f>
        <v>67.559457883773248</v>
      </c>
      <c r="AA78" s="1428"/>
      <c r="AB78" s="1429">
        <f>SUM(AB74:AB77)</f>
        <v>68.198761524347049</v>
      </c>
      <c r="AC78" s="80"/>
    </row>
    <row r="79" spans="1:29" x14ac:dyDescent="0.2">
      <c r="A79" s="1415"/>
      <c r="B79" s="337"/>
      <c r="C79" s="337"/>
      <c r="D79" s="337"/>
      <c r="E79" s="337"/>
      <c r="F79" s="1417"/>
      <c r="G79" s="1417"/>
      <c r="H79" s="1418"/>
      <c r="K79" s="1415"/>
      <c r="L79" s="337"/>
      <c r="M79" s="337"/>
      <c r="N79" s="337"/>
      <c r="O79" s="337"/>
      <c r="P79" s="1417"/>
      <c r="Q79" s="1417"/>
      <c r="R79" s="1418"/>
      <c r="U79" s="1415"/>
      <c r="V79" s="337"/>
      <c r="W79" s="337"/>
      <c r="X79" s="337"/>
      <c r="Y79" s="337"/>
      <c r="Z79" s="1417"/>
      <c r="AA79" s="1417"/>
      <c r="AB79" s="1418"/>
    </row>
    <row r="80" spans="1:29" x14ac:dyDescent="0.2">
      <c r="A80" s="1415">
        <f>+A77+5</f>
        <v>80</v>
      </c>
      <c r="B80" s="1416">
        <f>+IF(B$84=0,0,B23/B$84)</f>
        <v>0.21468720137511937</v>
      </c>
      <c r="C80" s="1416"/>
      <c r="D80" s="1416">
        <f>+IF(D$84=0,0,D23/D$84)</f>
        <v>0.22988492279011236</v>
      </c>
      <c r="E80" s="1416"/>
      <c r="F80" s="1417">
        <f>$A80*B80</f>
        <v>17.174976110009549</v>
      </c>
      <c r="G80" s="1417"/>
      <c r="H80" s="1418">
        <f>$A80*D80</f>
        <v>18.390793823208988</v>
      </c>
      <c r="I80" s="80"/>
      <c r="K80" s="1415">
        <f>+K77+5</f>
        <v>80</v>
      </c>
      <c r="L80" s="1416">
        <f>+IF(L$84=0,0,L23/L$84)</f>
        <v>0.33175873854918736</v>
      </c>
      <c r="M80" s="1416"/>
      <c r="N80" s="1416">
        <f>+IF(N$84=0,0,N23/N$84)</f>
        <v>0.35090235893312527</v>
      </c>
      <c r="O80" s="1416"/>
      <c r="P80" s="1417">
        <f>$A80*L80</f>
        <v>26.540699083934989</v>
      </c>
      <c r="Q80" s="1417"/>
      <c r="R80" s="1418">
        <f>$A80*N80</f>
        <v>28.072188714650022</v>
      </c>
      <c r="S80" s="80"/>
      <c r="U80" s="1415">
        <f>+U77+5</f>
        <v>80</v>
      </c>
      <c r="V80" s="1416">
        <f>+IF(V$84=0,0,V23/V$84)</f>
        <v>0.20635814249051471</v>
      </c>
      <c r="W80" s="1416"/>
      <c r="X80" s="1416">
        <f>+IF(X$84=0,0,X23/X$84)</f>
        <v>0.27623941202460539</v>
      </c>
      <c r="Y80" s="1416"/>
      <c r="Z80" s="1417">
        <f>$A80*V80</f>
        <v>16.508651399241177</v>
      </c>
      <c r="AA80" s="1417"/>
      <c r="AB80" s="1418">
        <f>$A80*X80</f>
        <v>22.099152961968432</v>
      </c>
      <c r="AC80" s="80"/>
    </row>
    <row r="81" spans="1:29" x14ac:dyDescent="0.2">
      <c r="A81" s="1415">
        <f>+A80+5</f>
        <v>85</v>
      </c>
      <c r="B81" s="1416">
        <f>+IF(B$84=0,0,B24/B$84)</f>
        <v>0.21072429918448168</v>
      </c>
      <c r="C81" s="1416"/>
      <c r="D81" s="1416">
        <f>+IF(D$84=0,0,D24/D$84)</f>
        <v>0.11602703238040898</v>
      </c>
      <c r="E81" s="1416"/>
      <c r="F81" s="1417">
        <f>$A81*B81</f>
        <v>17.911565430680945</v>
      </c>
      <c r="G81" s="1417"/>
      <c r="H81" s="1418">
        <f>$A81*D81</f>
        <v>9.8622977523347632</v>
      </c>
      <c r="I81" s="80"/>
      <c r="K81" s="1415">
        <f>+K80+5</f>
        <v>85</v>
      </c>
      <c r="L81" s="1416">
        <f>+IF(L$84=0,0,L24/L$84)</f>
        <v>0.23655099368558991</v>
      </c>
      <c r="M81" s="1416"/>
      <c r="N81" s="1416">
        <f>+IF(N$84=0,0,N24/N$84)</f>
        <v>0.20351315732677513</v>
      </c>
      <c r="O81" s="1416"/>
      <c r="P81" s="1417">
        <f>$A81*L81</f>
        <v>20.106834463275142</v>
      </c>
      <c r="Q81" s="1417"/>
      <c r="R81" s="1418">
        <f>$A81*N81</f>
        <v>17.298618372775888</v>
      </c>
      <c r="S81" s="80"/>
      <c r="U81" s="1415">
        <f>+U80+5</f>
        <v>85</v>
      </c>
      <c r="V81" s="1416">
        <f>+IF(V$84=0,0,V24/V$84)</f>
        <v>0.6553373294347935</v>
      </c>
      <c r="W81" s="1416"/>
      <c r="X81" s="1416">
        <f>+IF(X$84=0,0,X24/X$84)</f>
        <v>0.48023709045468821</v>
      </c>
      <c r="Y81" s="1416"/>
      <c r="Z81" s="1417">
        <f>$A81*V81</f>
        <v>55.703673001957448</v>
      </c>
      <c r="AA81" s="1417"/>
      <c r="AB81" s="1418">
        <f>$A81*X81</f>
        <v>40.820152688648498</v>
      </c>
      <c r="AC81" s="80"/>
    </row>
    <row r="82" spans="1:29" x14ac:dyDescent="0.2">
      <c r="A82" s="1415">
        <f>+A81+5</f>
        <v>90</v>
      </c>
      <c r="B82" s="1416">
        <f>+IF(B$84=0,0,B25/B$84)</f>
        <v>0.2387845948920076</v>
      </c>
      <c r="C82" s="1416"/>
      <c r="D82" s="1416">
        <f>+IF(D$84=0,0,D25/D$84)</f>
        <v>0.25553555267478556</v>
      </c>
      <c r="E82" s="1416"/>
      <c r="F82" s="1417">
        <f>$A82*B82</f>
        <v>21.490613540280684</v>
      </c>
      <c r="G82" s="1417"/>
      <c r="H82" s="1418">
        <f>$A82*D82</f>
        <v>22.998199740730701</v>
      </c>
      <c r="I82" s="80"/>
      <c r="K82" s="1415">
        <f>+K81+5</f>
        <v>90</v>
      </c>
      <c r="L82" s="1416">
        <f>+IF(L$84=0,0,L25/L$84)</f>
        <v>0.24632020842297053</v>
      </c>
      <c r="M82" s="1416"/>
      <c r="N82" s="1416">
        <f>+IF(N$84=0,0,N25/N$84)</f>
        <v>0.16666462721121802</v>
      </c>
      <c r="O82" s="1416"/>
      <c r="P82" s="1417">
        <f>$A82*L82</f>
        <v>22.168818758067349</v>
      </c>
      <c r="Q82" s="1417"/>
      <c r="R82" s="1418">
        <f>$A82*N82</f>
        <v>14.999816449009622</v>
      </c>
      <c r="S82" s="80"/>
      <c r="U82" s="1415">
        <f>+U81+5</f>
        <v>90</v>
      </c>
      <c r="V82" s="1416">
        <f>+IF(V$84=0,0,V25/V$84)</f>
        <v>0.10382366604823018</v>
      </c>
      <c r="W82" s="1416"/>
      <c r="X82" s="1416">
        <f>+IF(X$84=0,0,X25/X$84)</f>
        <v>0.1533517729124968</v>
      </c>
      <c r="Y82" s="1416"/>
      <c r="Z82" s="1417">
        <f>$A82*V82</f>
        <v>9.3441299443407164</v>
      </c>
      <c r="AA82" s="1417"/>
      <c r="AB82" s="1418">
        <f>$A82*X82</f>
        <v>13.801659562124712</v>
      </c>
      <c r="AC82" s="80"/>
    </row>
    <row r="83" spans="1:29" ht="13.5" thickBot="1" x14ac:dyDescent="0.25">
      <c r="A83" s="1415">
        <f>+A82+5</f>
        <v>95</v>
      </c>
      <c r="B83" s="1419">
        <f>+IF(B$84=0,0,B26/B$84)</f>
        <v>0.33580390454839137</v>
      </c>
      <c r="C83" s="1416"/>
      <c r="D83" s="1419">
        <f>+IF(D$84=0,0,D26/D$84)</f>
        <v>0.39855249215469307</v>
      </c>
      <c r="E83" s="1416"/>
      <c r="F83" s="1420">
        <f>$A83*B83</f>
        <v>31.90137093209718</v>
      </c>
      <c r="G83" s="1417"/>
      <c r="H83" s="1421">
        <f>$A83*D83</f>
        <v>37.862486754695844</v>
      </c>
      <c r="I83" s="80"/>
      <c r="K83" s="1415">
        <f>+K82+5</f>
        <v>95</v>
      </c>
      <c r="L83" s="1419">
        <f>+IF(L$84=0,0,L26/L$84)</f>
        <v>0.18537005934225215</v>
      </c>
      <c r="M83" s="1416"/>
      <c r="N83" s="1419">
        <f>+IF(N$84=0,0,N26/N$84)</f>
        <v>0.27891985652888163</v>
      </c>
      <c r="O83" s="1416"/>
      <c r="P83" s="1420">
        <f>$A83*L83</f>
        <v>17.610155637513955</v>
      </c>
      <c r="Q83" s="1417"/>
      <c r="R83" s="1421">
        <f>$A83*N83</f>
        <v>26.497386370243756</v>
      </c>
      <c r="S83" s="80"/>
      <c r="U83" s="1415">
        <f>+U82+5</f>
        <v>95</v>
      </c>
      <c r="V83" s="1419">
        <f>+IF(V$84=0,0,V26/V$84)</f>
        <v>3.448086202646148E-2</v>
      </c>
      <c r="W83" s="1416"/>
      <c r="X83" s="1419">
        <f>+IF(X$84=0,0,X26/X$84)</f>
        <v>9.01717246082097E-2</v>
      </c>
      <c r="Y83" s="1416"/>
      <c r="Z83" s="1420">
        <f>$A83*V83</f>
        <v>3.2756818925138407</v>
      </c>
      <c r="AA83" s="1417"/>
      <c r="AB83" s="1421">
        <f>$A83*X83</f>
        <v>8.5663138377799211</v>
      </c>
      <c r="AC83" s="80"/>
    </row>
    <row r="84" spans="1:29" ht="13.5" thickTop="1" x14ac:dyDescent="0.2">
      <c r="A84" s="1422" t="s">
        <v>18</v>
      </c>
      <c r="B84" s="1423">
        <f>SUM(B23:B26)</f>
        <v>5965.6783999999998</v>
      </c>
      <c r="C84" s="1424" t="s">
        <v>24</v>
      </c>
      <c r="D84" s="1425">
        <f>SUM(D23:D26)</f>
        <v>14218.34089999997</v>
      </c>
      <c r="E84" s="1426" t="s">
        <v>23</v>
      </c>
      <c r="F84" s="1427">
        <f>SUM(F80:F83)</f>
        <v>88.478526013068347</v>
      </c>
      <c r="G84" s="1428"/>
      <c r="H84" s="1429">
        <f>SUM(H80:H83)</f>
        <v>89.113778070970284</v>
      </c>
      <c r="I84" s="80"/>
      <c r="K84" s="1422" t="s">
        <v>18</v>
      </c>
      <c r="L84" s="1423">
        <f>SUM(L23:L26)</f>
        <v>8088.7053999999707</v>
      </c>
      <c r="M84" s="1424" t="s">
        <v>24</v>
      </c>
      <c r="N84" s="1425">
        <f>SUM(N23:N26)</f>
        <v>5794.0302999999894</v>
      </c>
      <c r="O84" s="1426" t="s">
        <v>23</v>
      </c>
      <c r="P84" s="1427">
        <f>SUM(P80:P83)</f>
        <v>86.426507942791432</v>
      </c>
      <c r="Q84" s="1428"/>
      <c r="R84" s="1429">
        <f>SUM(R80:R83)</f>
        <v>86.868009906679291</v>
      </c>
      <c r="S84" s="80"/>
      <c r="U84" s="1422" t="s">
        <v>18</v>
      </c>
      <c r="V84" s="1423">
        <f>SUM(V23:V26)</f>
        <v>509.07950000000005</v>
      </c>
      <c r="W84" s="1424" t="s">
        <v>24</v>
      </c>
      <c r="X84" s="1425">
        <f>SUM(X23:X26)</f>
        <v>394.04369999999994</v>
      </c>
      <c r="Y84" s="1426" t="s">
        <v>23</v>
      </c>
      <c r="Z84" s="1427">
        <f>SUM(Z80:Z83)</f>
        <v>84.832136238053195</v>
      </c>
      <c r="AA84" s="1428"/>
      <c r="AB84" s="1429">
        <f>SUM(AB80:AB83)</f>
        <v>85.287279050521562</v>
      </c>
      <c r="AC84" s="80"/>
    </row>
    <row r="85" spans="1:29" x14ac:dyDescent="0.2">
      <c r="A85" s="1415"/>
      <c r="B85" s="337"/>
      <c r="C85" s="337"/>
      <c r="D85" s="337"/>
      <c r="E85" s="337"/>
      <c r="F85" s="1417"/>
      <c r="G85" s="1417"/>
      <c r="H85" s="1418"/>
      <c r="K85" s="1415"/>
      <c r="L85" s="337"/>
      <c r="M85" s="337"/>
      <c r="N85" s="337"/>
      <c r="O85" s="337"/>
      <c r="P85" s="1417"/>
      <c r="Q85" s="1417"/>
      <c r="R85" s="1418"/>
      <c r="U85" s="1415"/>
      <c r="V85" s="337"/>
      <c r="W85" s="337"/>
      <c r="X85" s="337"/>
      <c r="Y85" s="337"/>
      <c r="Z85" s="1417"/>
      <c r="AA85" s="1417"/>
      <c r="AB85" s="1418"/>
    </row>
    <row r="86" spans="1:29" x14ac:dyDescent="0.2">
      <c r="A86" s="1415">
        <f>+A83+5</f>
        <v>100</v>
      </c>
      <c r="B86" s="1416">
        <f>+IF(B$90=0,0,B27/B$90)</f>
        <v>0.24366836784275434</v>
      </c>
      <c r="C86" s="1416"/>
      <c r="D86" s="1416">
        <f>+IF(D$90=0,0,D27/D$90)</f>
        <v>0.14396466421241996</v>
      </c>
      <c r="E86" s="1416"/>
      <c r="F86" s="1417">
        <f>$A86*B86</f>
        <v>24.366836784275435</v>
      </c>
      <c r="G86" s="1417"/>
      <c r="H86" s="1418">
        <f>$A86*D86</f>
        <v>14.396466421241996</v>
      </c>
      <c r="I86" s="80"/>
      <c r="K86" s="1415">
        <f>+K83+5</f>
        <v>100</v>
      </c>
      <c r="L86" s="1416">
        <f>+IF(L$90=0,0,L27/L$90)</f>
        <v>0.42027917582351804</v>
      </c>
      <c r="M86" s="1416"/>
      <c r="N86" s="1416">
        <f>+IF(N$90=0,0,N27/N$90)</f>
        <v>0.14016366009368464</v>
      </c>
      <c r="O86" s="1416"/>
      <c r="P86" s="1417">
        <f>$A86*L86</f>
        <v>42.027917582351805</v>
      </c>
      <c r="Q86" s="1417"/>
      <c r="R86" s="1418">
        <f>$A86*N86</f>
        <v>14.016366009368465</v>
      </c>
      <c r="S86" s="80"/>
      <c r="U86" s="1415">
        <f>+U83+5</f>
        <v>100</v>
      </c>
      <c r="V86" s="1416">
        <f>+IF(V$90=0,0,V27/V$90)</f>
        <v>1</v>
      </c>
      <c r="W86" s="1416"/>
      <c r="X86" s="1416">
        <f>+IF(X$90=0,0,X27/X$90)</f>
        <v>0.28378924191215815</v>
      </c>
      <c r="Y86" s="1416"/>
      <c r="Z86" s="1417">
        <f>$A86*V86</f>
        <v>100</v>
      </c>
      <c r="AA86" s="1417"/>
      <c r="AB86" s="1418">
        <f>$A86*X86</f>
        <v>28.378924191215816</v>
      </c>
      <c r="AC86" s="80"/>
    </row>
    <row r="87" spans="1:29" x14ac:dyDescent="0.2">
      <c r="A87" s="1415">
        <f>+A86+5</f>
        <v>105</v>
      </c>
      <c r="B87" s="1416">
        <f>+IF(B$90=0,0,B28/B$90)</f>
        <v>0.13374836947968496</v>
      </c>
      <c r="C87" s="1416"/>
      <c r="D87" s="1416">
        <f>+IF(D$90=0,0,D28/D$90)</f>
        <v>0.27910720101761316</v>
      </c>
      <c r="E87" s="1416"/>
      <c r="F87" s="1417">
        <f>$A87*B87</f>
        <v>14.043578795366921</v>
      </c>
      <c r="G87" s="1417"/>
      <c r="H87" s="1418">
        <f>$A87*D87</f>
        <v>29.306256106849382</v>
      </c>
      <c r="I87" s="80"/>
      <c r="K87" s="1415">
        <f>+K86+5</f>
        <v>105</v>
      </c>
      <c r="L87" s="1416">
        <f>+IF(L$90=0,0,L28/L$90)</f>
        <v>0.2089175873212932</v>
      </c>
      <c r="M87" s="1416"/>
      <c r="N87" s="1416">
        <f>+IF(N$90=0,0,N28/N$90)</f>
        <v>0.25340940162846937</v>
      </c>
      <c r="O87" s="1416"/>
      <c r="P87" s="1417">
        <f>$A87*L87</f>
        <v>21.936346668735787</v>
      </c>
      <c r="Q87" s="1417"/>
      <c r="R87" s="1418">
        <f>$A87*N87</f>
        <v>26.607987170989283</v>
      </c>
      <c r="S87" s="80"/>
      <c r="U87" s="1415">
        <f>+U86+5</f>
        <v>105</v>
      </c>
      <c r="V87" s="1416">
        <f>+IF(V$90=0,0,V28/V$90)</f>
        <v>0</v>
      </c>
      <c r="W87" s="1416"/>
      <c r="X87" s="1416">
        <f>+IF(X$90=0,0,X28/X$90)</f>
        <v>0.71621075808784196</v>
      </c>
      <c r="Y87" s="1416"/>
      <c r="Z87" s="1417">
        <f>$A87*V87</f>
        <v>0</v>
      </c>
      <c r="AA87" s="1417"/>
      <c r="AB87" s="1418">
        <f>$A87*X87</f>
        <v>75.202129599223412</v>
      </c>
      <c r="AC87" s="80"/>
    </row>
    <row r="88" spans="1:29" x14ac:dyDescent="0.2">
      <c r="A88" s="1415">
        <f>+A87+5</f>
        <v>110</v>
      </c>
      <c r="B88" s="1416">
        <f>+IF(B$90=0,0,B29/B$90)</f>
        <v>0.35717891902324017</v>
      </c>
      <c r="C88" s="1416"/>
      <c r="D88" s="1416">
        <f>+IF(D$90=0,0,D29/D$90)</f>
        <v>0.23589530250080593</v>
      </c>
      <c r="E88" s="1416"/>
      <c r="F88" s="1417">
        <f>$A88*B88</f>
        <v>39.289681092556421</v>
      </c>
      <c r="G88" s="1417"/>
      <c r="H88" s="1418">
        <f>$A88*D88</f>
        <v>25.948483275088652</v>
      </c>
      <c r="I88" s="80"/>
      <c r="K88" s="1415">
        <f>+K87+5</f>
        <v>110</v>
      </c>
      <c r="L88" s="1416">
        <f>+IF(L$90=0,0,L29/L$90)</f>
        <v>0.1536508363539931</v>
      </c>
      <c r="M88" s="1416"/>
      <c r="N88" s="1416">
        <f>+IF(N$90=0,0,N29/N$90)</f>
        <v>0.15609360529915992</v>
      </c>
      <c r="O88" s="1416"/>
      <c r="P88" s="1417">
        <f>$A88*L88</f>
        <v>16.901591998939242</v>
      </c>
      <c r="Q88" s="1417"/>
      <c r="R88" s="1418">
        <f>$A88*N88</f>
        <v>17.170296582907589</v>
      </c>
      <c r="S88" s="80"/>
      <c r="U88" s="1415">
        <f>+U87+5</f>
        <v>110</v>
      </c>
      <c r="V88" s="1416">
        <f>+IF(V$90=0,0,V29/V$90)</f>
        <v>0</v>
      </c>
      <c r="W88" s="1416"/>
      <c r="X88" s="1416">
        <f>+IF(X$90=0,0,X29/X$90)</f>
        <v>0</v>
      </c>
      <c r="Y88" s="1416"/>
      <c r="Z88" s="1417">
        <f>$A88*V88</f>
        <v>0</v>
      </c>
      <c r="AA88" s="1417"/>
      <c r="AB88" s="1418">
        <f>$A88*X88</f>
        <v>0</v>
      </c>
      <c r="AC88" s="80"/>
    </row>
    <row r="89" spans="1:29" ht="13.5" thickBot="1" x14ac:dyDescent="0.25">
      <c r="A89" s="1415">
        <f>+A88+5</f>
        <v>115</v>
      </c>
      <c r="B89" s="1419">
        <f>+IF(B$90=0,0,B30/B$90)</f>
        <v>0.26540434365432058</v>
      </c>
      <c r="C89" s="1416"/>
      <c r="D89" s="1419">
        <f>+IF(D$90=0,0,D30/D$90)</f>
        <v>0.34103283226916092</v>
      </c>
      <c r="E89" s="1416"/>
      <c r="F89" s="1420">
        <f>$A89*B89</f>
        <v>30.521499520246866</v>
      </c>
      <c r="G89" s="1417"/>
      <c r="H89" s="1421">
        <f>$A89*D89</f>
        <v>39.218775710953508</v>
      </c>
      <c r="I89" s="80"/>
      <c r="K89" s="1415">
        <f>+K88+5</f>
        <v>115</v>
      </c>
      <c r="L89" s="1419">
        <f>+IF(L$90=0,0,L30/L$90)</f>
        <v>0.21715240050119575</v>
      </c>
      <c r="M89" s="1416"/>
      <c r="N89" s="1419">
        <f>+IF(N$90=0,0,N30/N$90)</f>
        <v>0.450333332978686</v>
      </c>
      <c r="O89" s="1416"/>
      <c r="P89" s="1420">
        <f>$A89*L89</f>
        <v>24.972526057637509</v>
      </c>
      <c r="Q89" s="1417"/>
      <c r="R89" s="1421">
        <f>$A89*N89</f>
        <v>51.788333292548892</v>
      </c>
      <c r="S89" s="80"/>
      <c r="U89" s="1415">
        <f>+U88+5</f>
        <v>115</v>
      </c>
      <c r="V89" s="1419">
        <f>+IF(V$90=0,0,V30/V$90)</f>
        <v>0</v>
      </c>
      <c r="W89" s="1416"/>
      <c r="X89" s="1419">
        <f>+IF(X$90=0,0,X30/X$90)</f>
        <v>0</v>
      </c>
      <c r="Y89" s="1416"/>
      <c r="Z89" s="1420">
        <f>$A89*V89</f>
        <v>0</v>
      </c>
      <c r="AA89" s="1417"/>
      <c r="AB89" s="1421">
        <f>$A89*X89</f>
        <v>0</v>
      </c>
      <c r="AC89" s="80"/>
    </row>
    <row r="90" spans="1:29" ht="13.5" thickTop="1" x14ac:dyDescent="0.2">
      <c r="A90" s="1422" t="s">
        <v>18</v>
      </c>
      <c r="B90" s="1423">
        <f>SUM(B27:B30)</f>
        <v>3880.4330999999979</v>
      </c>
      <c r="C90" s="1424"/>
      <c r="D90" s="1425">
        <f>SUM(D27:D30)</f>
        <v>25576.40459999998</v>
      </c>
      <c r="E90" s="1426" t="s">
        <v>23</v>
      </c>
      <c r="F90" s="1427">
        <f>SUM(F86:F89)</f>
        <v>108.22159619244565</v>
      </c>
      <c r="G90" s="1428"/>
      <c r="H90" s="1429">
        <f>SUM(H86:H89)</f>
        <v>108.86998151413354</v>
      </c>
      <c r="I90" s="80"/>
      <c r="K90" s="1422" t="s">
        <v>18</v>
      </c>
      <c r="L90" s="1423">
        <f>SUM(L27:L30)</f>
        <v>3541.6103999999996</v>
      </c>
      <c r="M90" s="1424"/>
      <c r="N90" s="1425">
        <f>SUM(N27:N30)</f>
        <v>2631.7228</v>
      </c>
      <c r="O90" s="1426" t="s">
        <v>23</v>
      </c>
      <c r="P90" s="1427">
        <f>SUM(P86:P89)</f>
        <v>105.83838230766435</v>
      </c>
      <c r="Q90" s="1428"/>
      <c r="R90" s="1429">
        <f>SUM(R86:R89)</f>
        <v>109.58298305581422</v>
      </c>
      <c r="S90" s="80"/>
      <c r="U90" s="1422" t="s">
        <v>18</v>
      </c>
      <c r="V90" s="1423">
        <f>SUM(V27:V30)</f>
        <v>10.134399999999999</v>
      </c>
      <c r="W90" s="1424"/>
      <c r="X90" s="1425">
        <f>SUM(X27:X30)</f>
        <v>201.2867</v>
      </c>
      <c r="Y90" s="1426" t="s">
        <v>23</v>
      </c>
      <c r="Z90" s="1427">
        <f>SUM(Z86:Z89)</f>
        <v>100</v>
      </c>
      <c r="AA90" s="1428"/>
      <c r="AB90" s="1429">
        <f>SUM(AB86:AB89)</f>
        <v>103.58105379043923</v>
      </c>
      <c r="AC90" s="80"/>
    </row>
    <row r="91" spans="1:29" x14ac:dyDescent="0.2">
      <c r="A91" s="1415"/>
      <c r="B91" s="337"/>
      <c r="C91" s="337"/>
      <c r="D91" s="337"/>
      <c r="E91" s="337"/>
      <c r="F91" s="1417"/>
      <c r="G91" s="1417"/>
      <c r="H91" s="1418"/>
      <c r="K91" s="1415"/>
      <c r="L91" s="337"/>
      <c r="M91" s="337"/>
      <c r="N91" s="337"/>
      <c r="O91" s="337"/>
      <c r="P91" s="1417"/>
      <c r="Q91" s="1417"/>
      <c r="R91" s="1418"/>
      <c r="U91" s="1415"/>
      <c r="V91" s="337"/>
      <c r="W91" s="337"/>
      <c r="X91" s="337"/>
      <c r="Y91" s="337"/>
      <c r="Z91" s="1417"/>
      <c r="AA91" s="1417"/>
      <c r="AB91" s="1418"/>
    </row>
    <row r="92" spans="1:29" x14ac:dyDescent="0.2">
      <c r="A92" s="1415">
        <f>+A89+5</f>
        <v>120</v>
      </c>
      <c r="B92" s="1416">
        <f>+IF(B$96=0,0,B31/B$96)</f>
        <v>0.59281231301421333</v>
      </c>
      <c r="C92" s="1416"/>
      <c r="D92" s="1416">
        <f>+IF(D$96=0,0,D31/D$96)</f>
        <v>0.43688548075213895</v>
      </c>
      <c r="E92" s="1416"/>
      <c r="F92" s="1417">
        <f>$A92*B92</f>
        <v>71.137477561705595</v>
      </c>
      <c r="G92" s="1417"/>
      <c r="H92" s="1418">
        <f>$A92*D92</f>
        <v>52.426257690256676</v>
      </c>
      <c r="I92" s="80"/>
      <c r="K92" s="1415">
        <f>+K89+5</f>
        <v>120</v>
      </c>
      <c r="L92" s="1416">
        <f>+IF(L$96=0,0,L31/L$96)</f>
        <v>0.42827947123466509</v>
      </c>
      <c r="M92" s="1416"/>
      <c r="N92" s="1416">
        <f>+IF(N$96=0,0,N31/N$96)</f>
        <v>0.38840870931464666</v>
      </c>
      <c r="O92" s="1416"/>
      <c r="P92" s="1417">
        <f>$A92*L92</f>
        <v>51.393536548159808</v>
      </c>
      <c r="Q92" s="1417"/>
      <c r="R92" s="1418">
        <f>$A92*N92</f>
        <v>46.609045117757603</v>
      </c>
      <c r="S92" s="80"/>
      <c r="U92" s="1415">
        <f>+U89+5</f>
        <v>120</v>
      </c>
      <c r="V92" s="1416">
        <f>+IF(V$96=0,0,V31/V$96)</f>
        <v>0.32801219385816438</v>
      </c>
      <c r="W92" s="1416"/>
      <c r="X92" s="1416">
        <f>+IF(X$96=0,0,X31/X$96)</f>
        <v>0</v>
      </c>
      <c r="Y92" s="1416"/>
      <c r="Z92" s="1417">
        <f>$A92*V92</f>
        <v>39.361463262979726</v>
      </c>
      <c r="AA92" s="1417"/>
      <c r="AB92" s="1418">
        <f>$A92*X92</f>
        <v>0</v>
      </c>
      <c r="AC92" s="80"/>
    </row>
    <row r="93" spans="1:29" x14ac:dyDescent="0.2">
      <c r="A93" s="1415">
        <f>+A92+5</f>
        <v>125</v>
      </c>
      <c r="B93" s="1416">
        <f>+IF(B$96=0,0,B32/B$96)</f>
        <v>0.16567076708334208</v>
      </c>
      <c r="C93" s="1416"/>
      <c r="D93" s="1416">
        <f>+IF(D$96=0,0,D32/D$96)</f>
        <v>0.22575458066386245</v>
      </c>
      <c r="E93" s="1416"/>
      <c r="F93" s="1417">
        <f>$A93*B93</f>
        <v>20.708845885417759</v>
      </c>
      <c r="G93" s="1417"/>
      <c r="H93" s="1418">
        <f>$A93*D93</f>
        <v>28.219322582982805</v>
      </c>
      <c r="I93" s="80"/>
      <c r="K93" s="1415">
        <f>+K92+5</f>
        <v>125</v>
      </c>
      <c r="L93" s="1416">
        <f>+IF(L$96=0,0,L32/L$96)</f>
        <v>0.1335545253920227</v>
      </c>
      <c r="M93" s="1416"/>
      <c r="N93" s="1416">
        <f>+IF(N$96=0,0,N32/N$96)</f>
        <v>0.18373136179591779</v>
      </c>
      <c r="O93" s="1416"/>
      <c r="P93" s="1417">
        <f>$A93*L93</f>
        <v>16.694315674002837</v>
      </c>
      <c r="Q93" s="1417"/>
      <c r="R93" s="1418">
        <f>$A93*N93</f>
        <v>22.966420224489724</v>
      </c>
      <c r="S93" s="80"/>
      <c r="U93" s="1415">
        <f>+U92+5</f>
        <v>125</v>
      </c>
      <c r="V93" s="1416">
        <f>+IF(V$96=0,0,V32/V$96)</f>
        <v>0</v>
      </c>
      <c r="W93" s="1416"/>
      <c r="X93" s="1416">
        <f>+IF(X$96=0,0,X32/X$96)</f>
        <v>0.61936906183880258</v>
      </c>
      <c r="Y93" s="1416"/>
      <c r="Z93" s="1417">
        <f>$A93*V93</f>
        <v>0</v>
      </c>
      <c r="AA93" s="1417"/>
      <c r="AB93" s="1418">
        <f>$A93*X93</f>
        <v>77.421132729850328</v>
      </c>
      <c r="AC93" s="80"/>
    </row>
    <row r="94" spans="1:29" x14ac:dyDescent="0.2">
      <c r="A94" s="1415">
        <f>+A93+5</f>
        <v>130</v>
      </c>
      <c r="B94" s="1416">
        <f>+IF(B$96=0,0,B33/B$96)</f>
        <v>0.20373755265695842</v>
      </c>
      <c r="C94" s="1416"/>
      <c r="D94" s="1416">
        <f>+IF(D$96=0,0,D33/D$96)</f>
        <v>0.21408604687695471</v>
      </c>
      <c r="E94" s="1416"/>
      <c r="F94" s="1417">
        <f>$A94*B94</f>
        <v>26.485881845404595</v>
      </c>
      <c r="G94" s="1417"/>
      <c r="H94" s="1418">
        <f>$A94*D94</f>
        <v>27.83118609400411</v>
      </c>
      <c r="I94" s="80"/>
      <c r="K94" s="1415">
        <f>+K93+5</f>
        <v>130</v>
      </c>
      <c r="L94" s="1416">
        <f>+IF(L$96=0,0,L33/L$96)</f>
        <v>7.3836145185010568E-2</v>
      </c>
      <c r="M94" s="1416"/>
      <c r="N94" s="1416">
        <f>+IF(N$96=0,0,N33/N$96)</f>
        <v>0.20599555705142569</v>
      </c>
      <c r="O94" s="1416"/>
      <c r="P94" s="1417">
        <f>$A94*L94</f>
        <v>9.5986988740513741</v>
      </c>
      <c r="Q94" s="1417"/>
      <c r="R94" s="1418">
        <f>$A94*N94</f>
        <v>26.779422416685339</v>
      </c>
      <c r="S94" s="80"/>
      <c r="U94" s="1415">
        <f>+U93+5</f>
        <v>130</v>
      </c>
      <c r="V94" s="1416">
        <f>+IF(V$96=0,0,V33/V$96)</f>
        <v>0</v>
      </c>
      <c r="W94" s="1416"/>
      <c r="X94" s="1416">
        <f>+IF(X$96=0,0,X33/X$96)</f>
        <v>0.24311790715512063</v>
      </c>
      <c r="Y94" s="1416"/>
      <c r="Z94" s="1417">
        <f>$A94*V94</f>
        <v>0</v>
      </c>
      <c r="AA94" s="1417"/>
      <c r="AB94" s="1418">
        <f>$A94*X94</f>
        <v>31.605327930165682</v>
      </c>
      <c r="AC94" s="80"/>
    </row>
    <row r="95" spans="1:29" ht="13.5" thickBot="1" x14ac:dyDescent="0.25">
      <c r="A95" s="1415">
        <f>+A94+5</f>
        <v>135</v>
      </c>
      <c r="B95" s="1419">
        <f>+IF(B$96=0,0,B34/B$96)</f>
        <v>3.7779367245486042E-2</v>
      </c>
      <c r="C95" s="1416"/>
      <c r="D95" s="1419">
        <f>+IF(D$96=0,0,D34/D$96)</f>
        <v>0.12327389170704386</v>
      </c>
      <c r="E95" s="1416"/>
      <c r="F95" s="1420">
        <f>$A95*B95</f>
        <v>5.1002145781406156</v>
      </c>
      <c r="G95" s="1417"/>
      <c r="H95" s="1421">
        <f>$A95*D95</f>
        <v>16.641975380450923</v>
      </c>
      <c r="I95" s="80"/>
      <c r="K95" s="1415">
        <f>+K94+5</f>
        <v>135</v>
      </c>
      <c r="L95" s="1419">
        <f>+IF(L$96=0,0,L34/L$96)</f>
        <v>0.36432985818830166</v>
      </c>
      <c r="M95" s="1416"/>
      <c r="N95" s="1419">
        <f>+IF(N$96=0,0,N34/N$96)</f>
        <v>0.22186437183800989</v>
      </c>
      <c r="O95" s="1416"/>
      <c r="P95" s="1420">
        <f>$A95*L95</f>
        <v>49.184530855420725</v>
      </c>
      <c r="Q95" s="1417"/>
      <c r="R95" s="1421">
        <f>$A95*N95</f>
        <v>29.951690198131335</v>
      </c>
      <c r="S95" s="80"/>
      <c r="U95" s="1415">
        <f>+U94+5</f>
        <v>135</v>
      </c>
      <c r="V95" s="1419">
        <f>+IF(V$96=0,0,V34/V$96)</f>
        <v>0.67198780614183562</v>
      </c>
      <c r="W95" s="1416"/>
      <c r="X95" s="1419">
        <f>+IF(X$96=0,0,X34/X$96)</f>
        <v>0.13751303100607679</v>
      </c>
      <c r="Y95" s="1416"/>
      <c r="Z95" s="1420">
        <f>$A95*V95</f>
        <v>90.718353829147816</v>
      </c>
      <c r="AA95" s="1417"/>
      <c r="AB95" s="1421">
        <f>$A95*X95</f>
        <v>18.564259185820365</v>
      </c>
      <c r="AC95" s="80"/>
    </row>
    <row r="96" spans="1:29" ht="13.5" thickTop="1" x14ac:dyDescent="0.2">
      <c r="A96" s="1422" t="s">
        <v>18</v>
      </c>
      <c r="B96" s="1423">
        <f>SUM(B31:B34)</f>
        <v>9511.9195000000018</v>
      </c>
      <c r="C96" s="1424"/>
      <c r="D96" s="1425">
        <f>SUM(D31:D34)</f>
        <v>29381.789199999992</v>
      </c>
      <c r="E96" s="1426" t="s">
        <v>23</v>
      </c>
      <c r="F96" s="1427">
        <f>SUM(F92:F95)</f>
        <v>123.43241987066855</v>
      </c>
      <c r="G96" s="1428"/>
      <c r="H96" s="1429">
        <f>SUM(H92:H95)</f>
        <v>125.11874174769451</v>
      </c>
      <c r="I96" s="80"/>
      <c r="K96" s="1422" t="s">
        <v>18</v>
      </c>
      <c r="L96" s="1423">
        <f>SUM(L31:L34)</f>
        <v>3912.9494</v>
      </c>
      <c r="M96" s="1424"/>
      <c r="N96" s="1425">
        <f>SUM(N31:N34)</f>
        <v>2240.5391</v>
      </c>
      <c r="O96" s="1426" t="s">
        <v>23</v>
      </c>
      <c r="P96" s="1427">
        <f>SUM(P92:P95)</f>
        <v>126.87108195163475</v>
      </c>
      <c r="Q96" s="1428"/>
      <c r="R96" s="1429">
        <f>SUM(R92:R95)</f>
        <v>126.30657795706399</v>
      </c>
      <c r="S96" s="80"/>
      <c r="U96" s="1422" t="s">
        <v>18</v>
      </c>
      <c r="V96" s="1423">
        <f>SUM(V31:V34)</f>
        <v>231.59200000000001</v>
      </c>
      <c r="W96" s="1424"/>
      <c r="X96" s="1425">
        <f>SUM(X31:X34)</f>
        <v>336.8888</v>
      </c>
      <c r="Y96" s="1426" t="s">
        <v>23</v>
      </c>
      <c r="Z96" s="1427">
        <f>SUM(Z92:Z95)</f>
        <v>130.07981709212754</v>
      </c>
      <c r="AA96" s="1428"/>
      <c r="AB96" s="1429">
        <f>SUM(AB92:AB95)</f>
        <v>127.59071984583638</v>
      </c>
      <c r="AC96" s="80"/>
    </row>
    <row r="97" spans="1:29" x14ac:dyDescent="0.2">
      <c r="A97" s="1415"/>
      <c r="B97" s="337"/>
      <c r="C97" s="337"/>
      <c r="D97" s="337"/>
      <c r="E97" s="337"/>
      <c r="F97" s="1417"/>
      <c r="G97" s="1417"/>
      <c r="H97" s="1418"/>
      <c r="K97" s="1415"/>
      <c r="L97" s="337"/>
      <c r="M97" s="337"/>
      <c r="N97" s="337"/>
      <c r="O97" s="337"/>
      <c r="P97" s="1417"/>
      <c r="Q97" s="1417"/>
      <c r="R97" s="1418"/>
      <c r="U97" s="1415"/>
      <c r="V97" s="337"/>
      <c r="W97" s="337"/>
      <c r="X97" s="337"/>
      <c r="Y97" s="337"/>
      <c r="Z97" s="1417"/>
      <c r="AA97" s="1417"/>
      <c r="AB97" s="1418"/>
    </row>
    <row r="98" spans="1:29" x14ac:dyDescent="0.2">
      <c r="A98" s="1415">
        <f>+A95+5</f>
        <v>140</v>
      </c>
      <c r="B98" s="1416">
        <f>+IF(B$102=0,0,B35/B$102)</f>
        <v>0.27881247618322741</v>
      </c>
      <c r="C98" s="1416"/>
      <c r="D98" s="1416">
        <f>+IF(D$102=0,0,D35/D$102)</f>
        <v>0.3029247621502158</v>
      </c>
      <c r="E98" s="1416"/>
      <c r="F98" s="1417">
        <f>$A98*B98</f>
        <v>39.03374666565184</v>
      </c>
      <c r="G98" s="1417"/>
      <c r="H98" s="1418">
        <f>$A98*D98</f>
        <v>42.409466701030212</v>
      </c>
      <c r="I98" s="80"/>
      <c r="K98" s="1415">
        <f>+K95+5</f>
        <v>140</v>
      </c>
      <c r="L98" s="1416">
        <f>+IF(L$102=0,0,L35/L$102)</f>
        <v>0.16585113930220724</v>
      </c>
      <c r="M98" s="1416"/>
      <c r="N98" s="1416">
        <f>+IF(N$102=0,0,N35/N$102)</f>
        <v>0.78799110452186794</v>
      </c>
      <c r="O98" s="1416"/>
      <c r="P98" s="1417">
        <f>$A98*L98</f>
        <v>23.219159502309015</v>
      </c>
      <c r="Q98" s="1417"/>
      <c r="R98" s="1418">
        <f>$A98*N98</f>
        <v>110.31875463306152</v>
      </c>
      <c r="S98" s="80"/>
      <c r="U98" s="1415">
        <f>+U95+5</f>
        <v>140</v>
      </c>
      <c r="V98" s="1416">
        <f>+IF(V$102=0,0,V35/V$102)</f>
        <v>0</v>
      </c>
      <c r="W98" s="1416"/>
      <c r="X98" s="1416">
        <f>+IF(X$102=0,0,X35/X$102)</f>
        <v>3.5143837975038172E-2</v>
      </c>
      <c r="Y98" s="1416"/>
      <c r="Z98" s="1417">
        <f>$A98*V98</f>
        <v>0</v>
      </c>
      <c r="AA98" s="1417"/>
      <c r="AB98" s="1418">
        <f>$A98*X98</f>
        <v>4.9201373165053441</v>
      </c>
      <c r="AC98" s="80"/>
    </row>
    <row r="99" spans="1:29" x14ac:dyDescent="0.2">
      <c r="A99" s="1415">
        <f>+A98+5</f>
        <v>145</v>
      </c>
      <c r="B99" s="1416">
        <f>+IF(B$102=0,0,B36/B$102)</f>
        <v>0.33219946869244937</v>
      </c>
      <c r="C99" s="1416"/>
      <c r="D99" s="1416">
        <f>+IF(D$102=0,0,D36/D$102)</f>
        <v>0.34791159606555649</v>
      </c>
      <c r="E99" s="1416"/>
      <c r="F99" s="1417">
        <f>$A99*B99</f>
        <v>48.168922960405162</v>
      </c>
      <c r="G99" s="1417"/>
      <c r="H99" s="1418">
        <f>$A99*D99</f>
        <v>50.44718142950569</v>
      </c>
      <c r="I99" s="80"/>
      <c r="K99" s="1415">
        <f>+K98+5</f>
        <v>145</v>
      </c>
      <c r="L99" s="1416">
        <f>+IF(L$102=0,0,L36/L$102)</f>
        <v>0.46770221573026877</v>
      </c>
      <c r="M99" s="1416"/>
      <c r="N99" s="1416">
        <f>+IF(N$102=0,0,N36/N$102)</f>
        <v>3.9863486336624662E-2</v>
      </c>
      <c r="O99" s="1416"/>
      <c r="P99" s="1417">
        <f>$A99*L99</f>
        <v>67.816821280888973</v>
      </c>
      <c r="Q99" s="1417"/>
      <c r="R99" s="1418">
        <f>$A99*N99</f>
        <v>5.7802055188105763</v>
      </c>
      <c r="S99" s="80"/>
      <c r="U99" s="1415">
        <f>+U98+5</f>
        <v>145</v>
      </c>
      <c r="V99" s="1416">
        <f>+IF(V$102=0,0,V36/V$102)</f>
        <v>0</v>
      </c>
      <c r="W99" s="1416"/>
      <c r="X99" s="1416">
        <f>+IF(X$102=0,0,X36/X$102)</f>
        <v>0</v>
      </c>
      <c r="Y99" s="1416"/>
      <c r="Z99" s="1417">
        <f>$A99*V99</f>
        <v>0</v>
      </c>
      <c r="AA99" s="1417"/>
      <c r="AB99" s="1418">
        <f>$A99*X99</f>
        <v>0</v>
      </c>
      <c r="AC99" s="80"/>
    </row>
    <row r="100" spans="1:29" x14ac:dyDescent="0.2">
      <c r="A100" s="1415">
        <f>+A99+5</f>
        <v>150</v>
      </c>
      <c r="B100" s="1416">
        <f>+IF(B$102=0,0,B37/B$102)</f>
        <v>0.21041431117759499</v>
      </c>
      <c r="C100" s="1416"/>
      <c r="D100" s="1416">
        <f>+IF(D$102=0,0,D37/D$102)</f>
        <v>0.15422689355330643</v>
      </c>
      <c r="E100" s="1416"/>
      <c r="F100" s="1417">
        <f>$A100*B100</f>
        <v>31.562146676639248</v>
      </c>
      <c r="G100" s="1417"/>
      <c r="H100" s="1418">
        <f>$A100*D100</f>
        <v>23.134034032995963</v>
      </c>
      <c r="I100" s="80"/>
      <c r="K100" s="1415">
        <f>+K99+5</f>
        <v>150</v>
      </c>
      <c r="L100" s="1416">
        <f>+IF(L$102=0,0,L37/L$102)</f>
        <v>0.25520376732806566</v>
      </c>
      <c r="M100" s="1416"/>
      <c r="N100" s="1416">
        <f>+IF(N$102=0,0,N37/N$102)</f>
        <v>5.7319334495891036E-2</v>
      </c>
      <c r="O100" s="1416"/>
      <c r="P100" s="1417">
        <f>$A100*L100</f>
        <v>38.280565099209845</v>
      </c>
      <c r="Q100" s="1417"/>
      <c r="R100" s="1418">
        <f>$A100*N100</f>
        <v>8.5979001743836552</v>
      </c>
      <c r="S100" s="80"/>
      <c r="U100" s="1415">
        <f>+U99+5</f>
        <v>150</v>
      </c>
      <c r="V100" s="1416">
        <f>+IF(V$102=0,0,V37/V$102)</f>
        <v>0</v>
      </c>
      <c r="W100" s="1416"/>
      <c r="X100" s="1416">
        <f>+IF(X$102=0,0,X37/X$102)</f>
        <v>0.96485616202496194</v>
      </c>
      <c r="Y100" s="1416"/>
      <c r="Z100" s="1417">
        <f>$A100*V100</f>
        <v>0</v>
      </c>
      <c r="AA100" s="1417"/>
      <c r="AB100" s="1418">
        <f>$A100*X100</f>
        <v>144.7284243037443</v>
      </c>
      <c r="AC100" s="80"/>
    </row>
    <row r="101" spans="1:29" ht="13.5" thickBot="1" x14ac:dyDescent="0.25">
      <c r="A101" s="1415">
        <f>+A100+5</f>
        <v>155</v>
      </c>
      <c r="B101" s="1419">
        <f>+IF(B$102=0,0,B38/B$102)</f>
        <v>0.17857374394672823</v>
      </c>
      <c r="C101" s="1416"/>
      <c r="D101" s="1419">
        <f>+IF(D$102=0,0,D38/D$102)</f>
        <v>0.1949367482309213</v>
      </c>
      <c r="E101" s="1416"/>
      <c r="F101" s="1420">
        <f>$A101*B101</f>
        <v>27.678930311742874</v>
      </c>
      <c r="G101" s="1417"/>
      <c r="H101" s="1421">
        <f>$A101*D101</f>
        <v>30.215195975792803</v>
      </c>
      <c r="I101" s="80"/>
      <c r="K101" s="1415">
        <f>+K100+5</f>
        <v>155</v>
      </c>
      <c r="L101" s="1419">
        <f>+IF(L$102=0,0,L38/L$102)</f>
        <v>0.11124287763945828</v>
      </c>
      <c r="M101" s="1416"/>
      <c r="N101" s="1419">
        <f>+IF(N$102=0,0,N38/N$102)</f>
        <v>0.11482607464561623</v>
      </c>
      <c r="O101" s="1416"/>
      <c r="P101" s="1420">
        <f>$A101*L101</f>
        <v>17.242646034116035</v>
      </c>
      <c r="Q101" s="1417"/>
      <c r="R101" s="1421">
        <f>$A101*N101</f>
        <v>17.798041570070517</v>
      </c>
      <c r="S101" s="80"/>
      <c r="U101" s="1415">
        <f>+U100+5</f>
        <v>155</v>
      </c>
      <c r="V101" s="1419">
        <f>+IF(V$102=0,0,V38/V$102)</f>
        <v>0</v>
      </c>
      <c r="W101" s="1416"/>
      <c r="X101" s="1419">
        <f>+IF(X$102=0,0,X38/X$102)</f>
        <v>0</v>
      </c>
      <c r="Y101" s="1416"/>
      <c r="Z101" s="1420">
        <f>$A101*V101</f>
        <v>0</v>
      </c>
      <c r="AA101" s="1417"/>
      <c r="AB101" s="1421">
        <f>$A101*X101</f>
        <v>0</v>
      </c>
      <c r="AC101" s="80"/>
    </row>
    <row r="102" spans="1:29" ht="13.5" thickTop="1" x14ac:dyDescent="0.2">
      <c r="A102" s="1422" t="s">
        <v>18</v>
      </c>
      <c r="B102" s="1423">
        <f>SUM(B35:B38)</f>
        <v>3436.6535999999901</v>
      </c>
      <c r="C102" s="1424"/>
      <c r="D102" s="1425">
        <f>SUM(D35:D38)</f>
        <v>10114.96609999998</v>
      </c>
      <c r="E102" s="1426" t="s">
        <v>23</v>
      </c>
      <c r="F102" s="1427">
        <f>SUM(F98:F101)</f>
        <v>146.44374661443914</v>
      </c>
      <c r="G102" s="1428"/>
      <c r="H102" s="1429">
        <f>SUM(H98:H101)</f>
        <v>146.20587813932465</v>
      </c>
      <c r="I102" s="80"/>
      <c r="K102" s="1422" t="s">
        <v>18</v>
      </c>
      <c r="L102" s="1423">
        <f>SUM(L35:L38)</f>
        <v>2468.4231999999993</v>
      </c>
      <c r="M102" s="1424"/>
      <c r="N102" s="1425">
        <f>SUM(N35:N38)</f>
        <v>612.04130000000009</v>
      </c>
      <c r="O102" s="1426" t="s">
        <v>23</v>
      </c>
      <c r="P102" s="1427">
        <f>SUM(P98:P101)</f>
        <v>146.55919191652387</v>
      </c>
      <c r="Q102" s="1428"/>
      <c r="R102" s="1429">
        <f>SUM(R98:R101)</f>
        <v>142.49490189632627</v>
      </c>
      <c r="S102" s="80"/>
      <c r="U102" s="1422" t="s">
        <v>18</v>
      </c>
      <c r="V102" s="1423">
        <f>SUM(V35:V38)</f>
        <v>0</v>
      </c>
      <c r="W102" s="1424"/>
      <c r="X102" s="1425">
        <f>SUM(X35:X38)</f>
        <v>291.26869999999997</v>
      </c>
      <c r="Y102" s="1426" t="s">
        <v>23</v>
      </c>
      <c r="Z102" s="1427">
        <f>SUM(Z98:Z101)</f>
        <v>0</v>
      </c>
      <c r="AA102" s="1428"/>
      <c r="AB102" s="1429">
        <f>SUM(AB98:AB101)</f>
        <v>149.64856162024964</v>
      </c>
      <c r="AC102" s="80"/>
    </row>
    <row r="103" spans="1:29" x14ac:dyDescent="0.2">
      <c r="A103" s="1415"/>
      <c r="B103" s="337"/>
      <c r="C103" s="337"/>
      <c r="D103" s="337"/>
      <c r="E103" s="337"/>
      <c r="F103" s="1417"/>
      <c r="G103" s="1417"/>
      <c r="H103" s="1418"/>
      <c r="K103" s="1415"/>
      <c r="L103" s="337"/>
      <c r="M103" s="337"/>
      <c r="N103" s="337"/>
      <c r="O103" s="337"/>
      <c r="P103" s="1417"/>
      <c r="Q103" s="1417"/>
      <c r="R103" s="1418"/>
      <c r="U103" s="1415"/>
      <c r="V103" s="337"/>
      <c r="W103" s="337"/>
      <c r="X103" s="337"/>
      <c r="Y103" s="337"/>
      <c r="Z103" s="1417"/>
      <c r="AA103" s="1417"/>
      <c r="AB103" s="1418"/>
    </row>
    <row r="104" spans="1:29" x14ac:dyDescent="0.2">
      <c r="A104" s="1415">
        <f>+A101+5</f>
        <v>160</v>
      </c>
      <c r="B104" s="1416">
        <f>+IF(B$108=0,0,B39/B$108)</f>
        <v>0.31266610964275326</v>
      </c>
      <c r="C104" s="1416"/>
      <c r="D104" s="1416">
        <f>+IF(D$108=0,0,D39/D$108)</f>
        <v>0.40982093806799075</v>
      </c>
      <c r="E104" s="1416"/>
      <c r="F104" s="1417">
        <f>$A104*B104</f>
        <v>50.026577542840521</v>
      </c>
      <c r="G104" s="1417"/>
      <c r="H104" s="1418">
        <f>$A104*D104</f>
        <v>65.571350090878525</v>
      </c>
      <c r="I104" s="80"/>
      <c r="K104" s="1415">
        <f>+K101+5</f>
        <v>160</v>
      </c>
      <c r="L104" s="1416">
        <f>+IF(L$108=0,0,L39/L$102)</f>
        <v>8.6662368106084908E-2</v>
      </c>
      <c r="M104" s="1416"/>
      <c r="N104" s="1416">
        <f>+IF(N$108=0,0,N39/N$102)</f>
        <v>0.12128201152438568</v>
      </c>
      <c r="O104" s="1416"/>
      <c r="P104" s="1417">
        <f>$A104*L104</f>
        <v>13.865978896973585</v>
      </c>
      <c r="Q104" s="1417"/>
      <c r="R104" s="1418">
        <f>$A104*N104</f>
        <v>19.405121843901711</v>
      </c>
      <c r="S104" s="80"/>
      <c r="U104" s="1415">
        <f>+U101+5</f>
        <v>160</v>
      </c>
      <c r="V104" s="1416">
        <f>+IF(V$108=0,0,V39/V$102)</f>
        <v>0</v>
      </c>
      <c r="W104" s="1416"/>
      <c r="X104" s="1416">
        <f>+IF(X$108=0,0,X39/X$102)</f>
        <v>0</v>
      </c>
      <c r="Y104" s="1416"/>
      <c r="Z104" s="1417">
        <f>$A104*V104</f>
        <v>0</v>
      </c>
      <c r="AA104" s="1417"/>
      <c r="AB104" s="1418">
        <f>$A104*X104</f>
        <v>0</v>
      </c>
      <c r="AC104" s="80"/>
    </row>
    <row r="105" spans="1:29" x14ac:dyDescent="0.2">
      <c r="A105" s="1415">
        <f>+A104+5</f>
        <v>165</v>
      </c>
      <c r="B105" s="1416">
        <f>+IF(B$108=0,0,B40/B$108)</f>
        <v>0.10950015684685238</v>
      </c>
      <c r="C105" s="1416"/>
      <c r="D105" s="1416">
        <f>+IF(D$108=0,0,D40/D$108)</f>
        <v>0.27121998223334021</v>
      </c>
      <c r="E105" s="1416"/>
      <c r="F105" s="1417">
        <f>$A105*B105</f>
        <v>18.067525879730642</v>
      </c>
      <c r="G105" s="1417"/>
      <c r="H105" s="1418">
        <f>$A105*D105</f>
        <v>44.751297068501131</v>
      </c>
      <c r="I105" s="80"/>
      <c r="K105" s="1415">
        <f>+K104+5</f>
        <v>165</v>
      </c>
      <c r="L105" s="1416">
        <f>+IF(L$108=0,0,L40/L$102)</f>
        <v>0.17737039580571115</v>
      </c>
      <c r="M105" s="1416"/>
      <c r="N105" s="1416">
        <f>+IF(N$108=0,0,N40/N$102)</f>
        <v>0.17337147019326962</v>
      </c>
      <c r="O105" s="1416"/>
      <c r="P105" s="1417">
        <f>$A105*L105</f>
        <v>29.266115307942339</v>
      </c>
      <c r="Q105" s="1417"/>
      <c r="R105" s="1418">
        <f>$A105*N105</f>
        <v>28.606292581889488</v>
      </c>
      <c r="S105" s="80"/>
      <c r="U105" s="1415">
        <f>+U104+5</f>
        <v>165</v>
      </c>
      <c r="V105" s="1416">
        <f>+IF(V$108=0,0,V40/V$102)</f>
        <v>0</v>
      </c>
      <c r="W105" s="1416"/>
      <c r="X105" s="1416">
        <f>+IF(X$108=0,0,X40/X$102)</f>
        <v>0</v>
      </c>
      <c r="Y105" s="1416"/>
      <c r="Z105" s="1417">
        <f>$A105*V105</f>
        <v>0</v>
      </c>
      <c r="AA105" s="1417"/>
      <c r="AB105" s="1418">
        <f>$A105*X105</f>
        <v>0</v>
      </c>
      <c r="AC105" s="80"/>
    </row>
    <row r="106" spans="1:29" x14ac:dyDescent="0.2">
      <c r="A106" s="1415">
        <f>+A105+5</f>
        <v>170</v>
      </c>
      <c r="B106" s="1416">
        <f>+IF(B$108=0,0,B41/B$108)</f>
        <v>0.30100262465647232</v>
      </c>
      <c r="C106" s="1416"/>
      <c r="D106" s="1416">
        <f>+IF(D$108=0,0,D41/D$108)</f>
        <v>0.24705246570859246</v>
      </c>
      <c r="E106" s="1416"/>
      <c r="F106" s="1417">
        <f>$A106*B106</f>
        <v>51.170446191600291</v>
      </c>
      <c r="G106" s="1417"/>
      <c r="H106" s="1418">
        <f>$A106*D106</f>
        <v>41.998919170460717</v>
      </c>
      <c r="I106" s="80"/>
      <c r="K106" s="1415">
        <f>+K105+5</f>
        <v>170</v>
      </c>
      <c r="L106" s="1416">
        <f>+IF(L$108=0,0,L41/L$102)</f>
        <v>0.12017230270725056</v>
      </c>
      <c r="M106" s="1416"/>
      <c r="N106" s="1416">
        <f>+IF(N$108=0,0,N41/N$102)</f>
        <v>0</v>
      </c>
      <c r="O106" s="1416"/>
      <c r="P106" s="1417">
        <f>$A106*L106</f>
        <v>20.429291460232594</v>
      </c>
      <c r="Q106" s="1417"/>
      <c r="R106" s="1418">
        <f>$A106*N106</f>
        <v>0</v>
      </c>
      <c r="S106" s="80"/>
      <c r="U106" s="1415">
        <f>+U105+5</f>
        <v>170</v>
      </c>
      <c r="V106" s="1416">
        <f>+IF(V$108=0,0,V41/V$102)</f>
        <v>0</v>
      </c>
      <c r="W106" s="1416"/>
      <c r="X106" s="1416">
        <f>+IF(X$108=0,0,X41/X$102)</f>
        <v>0</v>
      </c>
      <c r="Y106" s="1416"/>
      <c r="Z106" s="1417">
        <f>$A106*V106</f>
        <v>0</v>
      </c>
      <c r="AA106" s="1417"/>
      <c r="AB106" s="1418">
        <f>$A106*X106</f>
        <v>0</v>
      </c>
      <c r="AC106" s="80"/>
    </row>
    <row r="107" spans="1:29" ht="13.5" thickBot="1" x14ac:dyDescent="0.25">
      <c r="A107" s="1415">
        <f>+A106+5</f>
        <v>175</v>
      </c>
      <c r="B107" s="1419">
        <f>+IF(B$108=0,0,B42/B$108)</f>
        <v>0.27683110885392209</v>
      </c>
      <c r="C107" s="1416"/>
      <c r="D107" s="1419">
        <f>+IF(D$108=0,0,D42/D$108)</f>
        <v>7.1906613990076709E-2</v>
      </c>
      <c r="E107" s="1416"/>
      <c r="F107" s="1420">
        <f>$A107*B107</f>
        <v>48.445444049436368</v>
      </c>
      <c r="G107" s="1417"/>
      <c r="H107" s="1421">
        <f>$A107*D107</f>
        <v>12.583657448263423</v>
      </c>
      <c r="I107" s="80"/>
      <c r="K107" s="1415">
        <f>+K106+5</f>
        <v>175</v>
      </c>
      <c r="L107" s="1419">
        <f>+IF(L$108=0,0,L42/L$102)</f>
        <v>5.9798943714351759E-2</v>
      </c>
      <c r="M107" s="1416"/>
      <c r="N107" s="1419">
        <f>+IF(N$108=0,0,N42/N$102)</f>
        <v>0.48292786777624314</v>
      </c>
      <c r="O107" s="1416"/>
      <c r="P107" s="1420">
        <f>$A107*L107</f>
        <v>10.464815150011558</v>
      </c>
      <c r="Q107" s="1417"/>
      <c r="R107" s="1421">
        <f>$A107*N107</f>
        <v>84.512376860842551</v>
      </c>
      <c r="S107" s="80"/>
      <c r="U107" s="1415">
        <f>+U106+5</f>
        <v>175</v>
      </c>
      <c r="V107" s="1419">
        <f>+IF(V$108=0,0,V42/V$102)</f>
        <v>0</v>
      </c>
      <c r="W107" s="1416"/>
      <c r="X107" s="1419">
        <f>+IF(X$108=0,0,X42/X$102)</f>
        <v>0.13040364446986583</v>
      </c>
      <c r="Y107" s="1416"/>
      <c r="Z107" s="1420">
        <f>$A107*V107</f>
        <v>0</v>
      </c>
      <c r="AA107" s="1417"/>
      <c r="AB107" s="1421">
        <f>$A107*X107</f>
        <v>22.82063778222652</v>
      </c>
      <c r="AC107" s="80"/>
    </row>
    <row r="108" spans="1:29" ht="13.5" thickTop="1" x14ac:dyDescent="0.2">
      <c r="A108" s="1422" t="s">
        <v>18</v>
      </c>
      <c r="B108" s="1423">
        <f>SUM(B39:B42)</f>
        <v>1087.6851999999999</v>
      </c>
      <c r="C108" s="1424"/>
      <c r="D108" s="1425">
        <f>SUM(D39:D42)</f>
        <v>2737.7119999999877</v>
      </c>
      <c r="E108" s="1426" t="s">
        <v>23</v>
      </c>
      <c r="F108" s="1427">
        <f>SUM(F104:F107)</f>
        <v>167.70999366360783</v>
      </c>
      <c r="G108" s="1428"/>
      <c r="H108" s="1429">
        <f>SUM(H104:H107)</f>
        <v>164.90522377810379</v>
      </c>
      <c r="I108" s="80"/>
      <c r="K108" s="1422" t="s">
        <v>18</v>
      </c>
      <c r="L108" s="1423">
        <f>SUM(L39:L42)</f>
        <v>1095.9897999999998</v>
      </c>
      <c r="M108" s="1424"/>
      <c r="N108" s="1425">
        <f>SUM(N39:N42)</f>
        <v>475.9119</v>
      </c>
      <c r="O108" s="1426" t="s">
        <v>23</v>
      </c>
      <c r="P108" s="1427">
        <f>SUM(P104:P107)</f>
        <v>74.026200815160081</v>
      </c>
      <c r="Q108" s="1428"/>
      <c r="R108" s="1429">
        <f>SUM(R104:R107)</f>
        <v>132.52379128663375</v>
      </c>
      <c r="S108" s="80"/>
      <c r="U108" s="1422" t="s">
        <v>18</v>
      </c>
      <c r="V108" s="1423">
        <f>SUM(V39:V42)</f>
        <v>0</v>
      </c>
      <c r="W108" s="1424"/>
      <c r="X108" s="1425">
        <f>SUM(X39:X42)</f>
        <v>37.982500000000002</v>
      </c>
      <c r="Y108" s="1426" t="s">
        <v>23</v>
      </c>
      <c r="Z108" s="1427">
        <f>SUM(Z104:Z107)</f>
        <v>0</v>
      </c>
      <c r="AA108" s="1428"/>
      <c r="AB108" s="1429">
        <f>SUM(AB104:AB107)</f>
        <v>22.82063778222652</v>
      </c>
      <c r="AC108" s="80"/>
    </row>
    <row r="109" spans="1:29" x14ac:dyDescent="0.2">
      <c r="A109" s="1415"/>
      <c r="B109" s="337"/>
      <c r="C109" s="337"/>
      <c r="D109" s="337"/>
      <c r="E109" s="337"/>
      <c r="F109" s="1417"/>
      <c r="G109" s="1417"/>
      <c r="H109" s="1418"/>
      <c r="K109" s="1415"/>
      <c r="L109" s="337"/>
      <c r="M109" s="337"/>
      <c r="N109" s="337"/>
      <c r="O109" s="337"/>
      <c r="P109" s="1417"/>
      <c r="Q109" s="1417"/>
      <c r="R109" s="1418"/>
      <c r="U109" s="1415"/>
      <c r="V109" s="337"/>
      <c r="W109" s="337"/>
      <c r="X109" s="337"/>
      <c r="Y109" s="337"/>
      <c r="Z109" s="1417"/>
      <c r="AA109" s="1417"/>
      <c r="AB109" s="1418"/>
    </row>
    <row r="110" spans="1:29" x14ac:dyDescent="0.2">
      <c r="A110" s="1415">
        <f>+A107+5</f>
        <v>180</v>
      </c>
      <c r="B110" s="1416">
        <f>+IF(B$114=0,0,B43/B$114)</f>
        <v>0.12709583678837311</v>
      </c>
      <c r="C110" s="1416"/>
      <c r="D110" s="1416">
        <f>+IF(D$114=0,0,D43/D$114)</f>
        <v>0.31019698245093336</v>
      </c>
      <c r="E110" s="1416"/>
      <c r="F110" s="1417">
        <f>$A110*B110</f>
        <v>22.877250621907159</v>
      </c>
      <c r="G110" s="1417"/>
      <c r="H110" s="1418">
        <f>$A110*D110</f>
        <v>55.835456841168003</v>
      </c>
      <c r="I110" s="80"/>
      <c r="K110" s="1415">
        <f>+K107+5</f>
        <v>180</v>
      </c>
      <c r="L110" s="1416">
        <f>+IF(L$114=0,0,L43/L$114)</f>
        <v>0.27446517725845121</v>
      </c>
      <c r="M110" s="1416"/>
      <c r="N110" s="1416">
        <f>+IF(N$114=0,0,N43/N$114)</f>
        <v>0.30116940504711925</v>
      </c>
      <c r="O110" s="1416"/>
      <c r="P110" s="1417">
        <f>$A110*L110</f>
        <v>49.403731906521216</v>
      </c>
      <c r="Q110" s="1417"/>
      <c r="R110" s="1418">
        <f>$A110*N110</f>
        <v>54.210492908481463</v>
      </c>
      <c r="S110" s="80"/>
      <c r="U110" s="1415">
        <f>+U107+5</f>
        <v>180</v>
      </c>
      <c r="V110" s="1416">
        <f>+IF(V$114=0,0,V43/V$114)</f>
        <v>0</v>
      </c>
      <c r="W110" s="1416"/>
      <c r="X110" s="1416">
        <f>+IF(X$114=0,0,X43/X$114)</f>
        <v>0</v>
      </c>
      <c r="Y110" s="1416"/>
      <c r="Z110" s="1417">
        <f>$A110*V110</f>
        <v>0</v>
      </c>
      <c r="AA110" s="1417"/>
      <c r="AB110" s="1418">
        <f>$A110*X110</f>
        <v>0</v>
      </c>
      <c r="AC110" s="80"/>
    </row>
    <row r="111" spans="1:29" x14ac:dyDescent="0.2">
      <c r="A111" s="1415">
        <f>+A110+5</f>
        <v>185</v>
      </c>
      <c r="B111" s="1416">
        <f>+IF(B$114=0,0,B44/B$114)</f>
        <v>0.16055296468082275</v>
      </c>
      <c r="C111" s="1416"/>
      <c r="D111" s="1416">
        <f>+IF(D$114=0,0,D44/D$114)</f>
        <v>0.3020109318138981</v>
      </c>
      <c r="E111" s="1416"/>
      <c r="F111" s="1417">
        <f>$A111*B111</f>
        <v>29.702298465952207</v>
      </c>
      <c r="G111" s="1417"/>
      <c r="H111" s="1418">
        <f>$A111*D111</f>
        <v>55.87202238557115</v>
      </c>
      <c r="I111" s="80"/>
      <c r="K111" s="1415">
        <f>+K110+5</f>
        <v>185</v>
      </c>
      <c r="L111" s="1416">
        <f>+IF(L$114=0,0,L44/L$114)</f>
        <v>0.46763474285836731</v>
      </c>
      <c r="M111" s="1416"/>
      <c r="N111" s="1416">
        <f>+IF(N$114=0,0,N44/N$114)</f>
        <v>0.14645316032423</v>
      </c>
      <c r="O111" s="1416"/>
      <c r="P111" s="1417">
        <f>$A111*L111</f>
        <v>86.512427428797949</v>
      </c>
      <c r="Q111" s="1417"/>
      <c r="R111" s="1418">
        <f>$A111*N111</f>
        <v>27.093834659982551</v>
      </c>
      <c r="S111" s="80"/>
      <c r="U111" s="1415">
        <f>+U110+5</f>
        <v>185</v>
      </c>
      <c r="V111" s="1416">
        <f>+IF(V$114=0,0,V44/V$114)</f>
        <v>0</v>
      </c>
      <c r="W111" s="1416"/>
      <c r="X111" s="1416">
        <f>+IF(X$114=0,0,X44/X$114)</f>
        <v>0</v>
      </c>
      <c r="Y111" s="1416"/>
      <c r="Z111" s="1417">
        <f>$A111*V111</f>
        <v>0</v>
      </c>
      <c r="AA111" s="1417"/>
      <c r="AB111" s="1418">
        <f>$A111*X111</f>
        <v>0</v>
      </c>
      <c r="AC111" s="80"/>
    </row>
    <row r="112" spans="1:29" x14ac:dyDescent="0.2">
      <c r="A112" s="1415">
        <v>190</v>
      </c>
      <c r="B112" s="1416">
        <f>+IF(B$114=0,0,B45/B$114)</f>
        <v>0.59047851691207276</v>
      </c>
      <c r="C112" s="1416"/>
      <c r="D112" s="1416">
        <f>+IF(D$114=0,0,D45/D$114)</f>
        <v>0.15330848132389413</v>
      </c>
      <c r="E112" s="1416"/>
      <c r="F112" s="1417">
        <f>$A112*B112</f>
        <v>112.19091821329383</v>
      </c>
      <c r="G112" s="1417"/>
      <c r="H112" s="1418">
        <f>$A112*D112</f>
        <v>29.128611451539886</v>
      </c>
      <c r="I112" s="80"/>
      <c r="K112" s="1415">
        <v>190</v>
      </c>
      <c r="L112" s="1416">
        <f>+IF(L$114=0,0,L45/L$114)</f>
        <v>0.25790007988318137</v>
      </c>
      <c r="M112" s="1416"/>
      <c r="N112" s="1416">
        <f>+IF(N$114=0,0,N45/N$114)</f>
        <v>0.39160753691614159</v>
      </c>
      <c r="O112" s="1416"/>
      <c r="P112" s="1417">
        <f>$A112*L112</f>
        <v>49.001015177804462</v>
      </c>
      <c r="Q112" s="1417"/>
      <c r="R112" s="1418">
        <f>$A112*N112</f>
        <v>74.405432014066903</v>
      </c>
      <c r="S112" s="80"/>
      <c r="U112" s="1415">
        <v>190</v>
      </c>
      <c r="V112" s="1416">
        <f>+IF(V$114=0,0,V45/V$114)</f>
        <v>0</v>
      </c>
      <c r="W112" s="1416"/>
      <c r="X112" s="1416">
        <f>+IF(X$114=0,0,X45/X$114)</f>
        <v>0</v>
      </c>
      <c r="Y112" s="1416"/>
      <c r="Z112" s="1417">
        <f>$A112*V112</f>
        <v>0</v>
      </c>
      <c r="AA112" s="1417"/>
      <c r="AB112" s="1418">
        <f>$A112*X112</f>
        <v>0</v>
      </c>
      <c r="AC112" s="80"/>
    </row>
    <row r="113" spans="1:30" ht="13.5" thickBot="1" x14ac:dyDescent="0.25">
      <c r="A113" s="1415">
        <f>+A112+5</f>
        <v>195</v>
      </c>
      <c r="B113" s="1419">
        <f>+IF(B$114=0,0,B46/B$114)</f>
        <v>0.12187268161873142</v>
      </c>
      <c r="C113" s="1416"/>
      <c r="D113" s="1419">
        <f>+IF(D$114=0,0,D46/D$114)</f>
        <v>0.2344836044112745</v>
      </c>
      <c r="E113" s="1416"/>
      <c r="F113" s="1420">
        <f>$A113*B113</f>
        <v>23.765172915652627</v>
      </c>
      <c r="G113" s="1417"/>
      <c r="H113" s="1421">
        <f>$A113*D113</f>
        <v>45.724302860198527</v>
      </c>
      <c r="I113" s="80"/>
      <c r="K113" s="1415">
        <f>+K112+5</f>
        <v>195</v>
      </c>
      <c r="L113" s="1419">
        <f>+IF(L$114=0,0,L46/L$114)</f>
        <v>0</v>
      </c>
      <c r="M113" s="1416"/>
      <c r="N113" s="1419">
        <f>+IF(N$114=0,0,N46/N$114)</f>
        <v>0.16076989771250924</v>
      </c>
      <c r="O113" s="1416"/>
      <c r="P113" s="1420">
        <f>$A113*L113</f>
        <v>0</v>
      </c>
      <c r="Q113" s="1417"/>
      <c r="R113" s="1421">
        <f>$A113*N113</f>
        <v>31.350130053939303</v>
      </c>
      <c r="S113" s="80"/>
      <c r="U113" s="1415">
        <f>+U112+5</f>
        <v>195</v>
      </c>
      <c r="V113" s="1419">
        <f>+IF(V$114=0,0,V46/V$114)</f>
        <v>1</v>
      </c>
      <c r="W113" s="1416"/>
      <c r="X113" s="1419">
        <f>+IF(X$114=0,0,X46/X$114)</f>
        <v>0</v>
      </c>
      <c r="Y113" s="1416"/>
      <c r="Z113" s="1420">
        <f>$A113*V113</f>
        <v>195</v>
      </c>
      <c r="AA113" s="1417"/>
      <c r="AB113" s="1421">
        <f>$A113*X113</f>
        <v>0</v>
      </c>
      <c r="AC113" s="80"/>
    </row>
    <row r="114" spans="1:30" ht="13.5" thickTop="1" x14ac:dyDescent="0.2">
      <c r="A114" s="1422" t="s">
        <v>18</v>
      </c>
      <c r="B114" s="1423">
        <f>SUM(B43:B46)</f>
        <v>496.97929999999991</v>
      </c>
      <c r="C114" s="1424"/>
      <c r="D114" s="1425">
        <f>SUM(D43:D46)</f>
        <v>2931.3524999999977</v>
      </c>
      <c r="E114" s="1426" t="s">
        <v>23</v>
      </c>
      <c r="F114" s="1427">
        <f>SUM(F110:F113)</f>
        <v>188.5356402168058</v>
      </c>
      <c r="G114" s="1428"/>
      <c r="H114" s="1429">
        <f>SUM(H110:H113)</f>
        <v>186.56039353847757</v>
      </c>
      <c r="I114" s="80"/>
      <c r="K114" s="1422" t="s">
        <v>18</v>
      </c>
      <c r="L114" s="1423">
        <f>SUM(L43:L46)</f>
        <v>485.33370000000002</v>
      </c>
      <c r="M114" s="1424"/>
      <c r="N114" s="1425">
        <f>SUM(N43:N46)</f>
        <v>148.0924</v>
      </c>
      <c r="O114" s="1426" t="s">
        <v>23</v>
      </c>
      <c r="P114" s="1427">
        <f>SUM(P110:P113)</f>
        <v>184.9171745131236</v>
      </c>
      <c r="Q114" s="1428"/>
      <c r="R114" s="1429">
        <f>SUM(R110:R113)</f>
        <v>187.05988963647022</v>
      </c>
      <c r="S114" s="80"/>
      <c r="U114" s="1422" t="s">
        <v>18</v>
      </c>
      <c r="V114" s="1423">
        <f>SUM(V43:V46)</f>
        <v>39.219499999999996</v>
      </c>
      <c r="W114" s="1424"/>
      <c r="X114" s="1425">
        <f>SUM(X43:X46)</f>
        <v>0</v>
      </c>
      <c r="Y114" s="1426" t="s">
        <v>23</v>
      </c>
      <c r="Z114" s="1427">
        <f>SUM(Z110:Z113)</f>
        <v>195</v>
      </c>
      <c r="AA114" s="1428"/>
      <c r="AB114" s="1429">
        <f>SUM(AB110:AB113)</f>
        <v>0</v>
      </c>
      <c r="AC114" s="80"/>
    </row>
    <row r="115" spans="1:30" x14ac:dyDescent="0.2">
      <c r="A115" s="1415"/>
      <c r="B115" s="337"/>
      <c r="C115" s="337"/>
      <c r="D115" s="337"/>
      <c r="E115" s="337"/>
      <c r="F115" s="1417"/>
      <c r="G115" s="1417"/>
      <c r="H115" s="1418"/>
      <c r="K115" s="1415"/>
      <c r="L115" s="337"/>
      <c r="M115" s="337"/>
      <c r="N115" s="337"/>
      <c r="O115" s="337"/>
      <c r="P115" s="1417"/>
      <c r="Q115" s="1417"/>
      <c r="R115" s="1418"/>
      <c r="U115" s="1415"/>
      <c r="V115" s="337"/>
      <c r="W115" s="337"/>
      <c r="X115" s="337"/>
      <c r="Y115" s="337"/>
      <c r="Z115" s="1417"/>
      <c r="AA115" s="1417"/>
      <c r="AB115" s="1418"/>
    </row>
    <row r="116" spans="1:30" x14ac:dyDescent="0.2">
      <c r="A116" s="1422">
        <v>200</v>
      </c>
      <c r="B116" s="1416">
        <f>+IF(B$118=0,0,B47/B$118)</f>
        <v>1</v>
      </c>
      <c r="C116" s="1416"/>
      <c r="D116" s="1416">
        <f>+IF(D$118=0,0,D47/D$118)</f>
        <v>1</v>
      </c>
      <c r="E116" s="1416"/>
      <c r="F116" s="1417">
        <f>$A116*B116</f>
        <v>200</v>
      </c>
      <c r="G116" s="1417"/>
      <c r="H116" s="1418">
        <f>$A116*D116</f>
        <v>200</v>
      </c>
      <c r="I116" s="80"/>
      <c r="K116" s="1422">
        <v>200</v>
      </c>
      <c r="L116" s="1416">
        <f>+IF(L$118=0,0,L47/L$118)</f>
        <v>1</v>
      </c>
      <c r="M116" s="1416"/>
      <c r="N116" s="1416">
        <f>+IF(N$118=0,0,N47/N$118)</f>
        <v>1</v>
      </c>
      <c r="O116" s="1416"/>
      <c r="P116" s="1417">
        <f>$A116*L116</f>
        <v>200</v>
      </c>
      <c r="Q116" s="1417"/>
      <c r="R116" s="1418">
        <f>$A116*N116</f>
        <v>200</v>
      </c>
      <c r="S116" s="80"/>
      <c r="U116" s="1422">
        <v>200</v>
      </c>
      <c r="V116" s="1416">
        <f>+IF(V$118=0,0,V47/V$118)</f>
        <v>0</v>
      </c>
      <c r="W116" s="1416"/>
      <c r="X116" s="1416">
        <f>+IF(X$118=0,0,X47/X$118)</f>
        <v>1</v>
      </c>
      <c r="Y116" s="1416"/>
      <c r="Z116" s="1417">
        <f>$A116*V116</f>
        <v>0</v>
      </c>
      <c r="AA116" s="1417"/>
      <c r="AB116" s="1418">
        <f>$A116*X116</f>
        <v>200</v>
      </c>
      <c r="AC116" s="80"/>
    </row>
    <row r="117" spans="1:30" ht="13.5" thickBot="1" x14ac:dyDescent="0.25">
      <c r="A117" s="1422">
        <v>225</v>
      </c>
      <c r="B117" s="1419">
        <f>+IF(B$118=0,0,B48/B$118)</f>
        <v>0</v>
      </c>
      <c r="C117" s="1416"/>
      <c r="D117" s="1419">
        <f>+IF(D$118=0,0,D48/D$118)</f>
        <v>0</v>
      </c>
      <c r="E117" s="1416"/>
      <c r="F117" s="1420">
        <f>$A117*B117</f>
        <v>0</v>
      </c>
      <c r="G117" s="1417"/>
      <c r="H117" s="1421">
        <f>$A117*D117</f>
        <v>0</v>
      </c>
      <c r="I117" s="80"/>
      <c r="K117" s="1422">
        <v>225</v>
      </c>
      <c r="L117" s="1419">
        <f>+IF(L$118=0,0,L48/L$118)</f>
        <v>0</v>
      </c>
      <c r="M117" s="1416"/>
      <c r="N117" s="1419">
        <f>+IF(N$118=0,0,N48/N$118)</f>
        <v>0</v>
      </c>
      <c r="O117" s="1416"/>
      <c r="P117" s="1420">
        <f>$A117*L117</f>
        <v>0</v>
      </c>
      <c r="Q117" s="1417"/>
      <c r="R117" s="1421">
        <f>$A117*N117</f>
        <v>0</v>
      </c>
      <c r="S117" s="80"/>
      <c r="U117" s="1422">
        <v>225</v>
      </c>
      <c r="V117" s="1419">
        <f>+IF(V$118=0,0,V48/V$118)</f>
        <v>0</v>
      </c>
      <c r="W117" s="1416"/>
      <c r="X117" s="1419">
        <f>+IF(X$118=0,0,X48/X$118)</f>
        <v>0</v>
      </c>
      <c r="Y117" s="1416"/>
      <c r="Z117" s="1420">
        <f>$A117*V117</f>
        <v>0</v>
      </c>
      <c r="AA117" s="1417"/>
      <c r="AB117" s="1421">
        <f>$A117*X117</f>
        <v>0</v>
      </c>
      <c r="AC117" s="80"/>
    </row>
    <row r="118" spans="1:30" ht="13.5" thickTop="1" x14ac:dyDescent="0.2">
      <c r="A118" s="1422" t="s">
        <v>18</v>
      </c>
      <c r="B118" s="1423">
        <f>SUM(B47:B48)</f>
        <v>1036.2875999999901</v>
      </c>
      <c r="C118" s="1424"/>
      <c r="D118" s="1425">
        <f>SUM(D47:D48)</f>
        <v>3568.0746999999901</v>
      </c>
      <c r="E118" s="1426" t="s">
        <v>23</v>
      </c>
      <c r="F118" s="1427">
        <f>SUM(F116:F117)</f>
        <v>200</v>
      </c>
      <c r="G118" s="1428"/>
      <c r="H118" s="1429">
        <f>SUM(H116:H117)</f>
        <v>200</v>
      </c>
      <c r="I118" s="80"/>
      <c r="K118" s="1422" t="s">
        <v>18</v>
      </c>
      <c r="L118" s="1423">
        <f>SUM(L47:L48)</f>
        <v>830.17509999999902</v>
      </c>
      <c r="M118" s="1424"/>
      <c r="N118" s="1425">
        <f>SUM(N47:N48)</f>
        <v>392.31180000000001</v>
      </c>
      <c r="O118" s="1426" t="s">
        <v>23</v>
      </c>
      <c r="P118" s="1427">
        <f>SUM(P116:P117)</f>
        <v>200</v>
      </c>
      <c r="Q118" s="1428"/>
      <c r="R118" s="1429">
        <f>SUM(R116:R117)</f>
        <v>200</v>
      </c>
      <c r="S118" s="80"/>
      <c r="U118" s="1422" t="s">
        <v>18</v>
      </c>
      <c r="V118" s="1423">
        <f>SUM(V47:V48)</f>
        <v>0</v>
      </c>
      <c r="W118" s="1424"/>
      <c r="X118" s="1425">
        <f>SUM(X47:X48)</f>
        <v>8.5482999999999993</v>
      </c>
      <c r="Y118" s="1426" t="s">
        <v>23</v>
      </c>
      <c r="Z118" s="1427">
        <f>SUM(Z116:Z117)</f>
        <v>0</v>
      </c>
      <c r="AA118" s="1428"/>
      <c r="AB118" s="1429">
        <f>SUM(AB116:AB117)</f>
        <v>200</v>
      </c>
      <c r="AC118" s="80"/>
    </row>
    <row r="119" spans="1:30" ht="13.5" thickBot="1" x14ac:dyDescent="0.25">
      <c r="A119" s="81"/>
      <c r="B119" s="82"/>
      <c r="C119" s="82"/>
      <c r="D119" s="82"/>
      <c r="E119" s="82"/>
      <c r="F119" s="83"/>
      <c r="G119" s="83"/>
      <c r="H119" s="84"/>
      <c r="I119" s="80"/>
      <c r="K119" s="81"/>
      <c r="L119" s="82"/>
      <c r="M119" s="82"/>
      <c r="N119" s="82"/>
      <c r="O119" s="82"/>
      <c r="P119" s="83"/>
      <c r="Q119" s="83"/>
      <c r="R119" s="84"/>
      <c r="S119" s="80"/>
      <c r="U119" s="81"/>
      <c r="V119" s="82"/>
      <c r="W119" s="82"/>
      <c r="X119" s="82"/>
      <c r="Y119" s="82"/>
      <c r="Z119" s="83"/>
      <c r="AA119" s="83"/>
      <c r="AB119" s="84"/>
      <c r="AC119" s="80"/>
    </row>
    <row r="120" spans="1:30" x14ac:dyDescent="0.2">
      <c r="A120" s="77"/>
      <c r="F120" s="80"/>
      <c r="G120" s="80"/>
      <c r="H120" s="80"/>
      <c r="I120" s="80"/>
      <c r="K120" s="77"/>
      <c r="P120" s="80"/>
      <c r="Q120" s="80"/>
      <c r="R120" s="80"/>
      <c r="S120" s="80"/>
      <c r="U120" s="77"/>
      <c r="Z120" s="80"/>
      <c r="AA120" s="80"/>
      <c r="AB120" s="80"/>
      <c r="AC120" s="80"/>
    </row>
    <row r="121" spans="1:30" x14ac:dyDescent="0.2">
      <c r="A121" s="77"/>
      <c r="F121" s="80"/>
      <c r="G121" s="80"/>
      <c r="H121" s="80"/>
      <c r="I121" s="80"/>
      <c r="K121" s="77"/>
      <c r="P121" s="80"/>
      <c r="Q121" s="80"/>
      <c r="R121" s="80"/>
      <c r="S121" s="80"/>
      <c r="U121" s="77"/>
      <c r="Z121" s="80"/>
      <c r="AA121" s="80"/>
      <c r="AB121" s="80"/>
      <c r="AC121" s="80"/>
    </row>
    <row r="122" spans="1:30" s="73" customFormat="1" ht="15.75" x14ac:dyDescent="0.25">
      <c r="A122" s="1407" t="s">
        <v>235</v>
      </c>
      <c r="K122" s="1407" t="s">
        <v>236</v>
      </c>
      <c r="L122" s="1408"/>
      <c r="M122" s="1409"/>
      <c r="U122" s="1407" t="s">
        <v>155</v>
      </c>
      <c r="V122" s="1408"/>
      <c r="W122" s="1409"/>
    </row>
    <row r="123" spans="1:30" x14ac:dyDescent="0.2">
      <c r="A123" s="50" t="str">
        <f>A54</f>
        <v>Vehicle Age 2 or Less</v>
      </c>
      <c r="K123" s="50" t="str">
        <f>K54</f>
        <v>Vehicle Age 2 or Less</v>
      </c>
      <c r="U123" s="50" t="str">
        <f>U54</f>
        <v>Vehicle Age 2 or Less</v>
      </c>
    </row>
    <row r="124" spans="1:30" x14ac:dyDescent="0.2">
      <c r="A124" s="85"/>
      <c r="B124" s="71"/>
      <c r="C124" s="71"/>
      <c r="D124" s="71"/>
      <c r="E124" s="71"/>
      <c r="F124" s="71"/>
      <c r="G124" s="71"/>
      <c r="H124" s="71"/>
      <c r="I124" s="71"/>
      <c r="K124" s="85"/>
      <c r="L124" s="71"/>
      <c r="M124" s="71"/>
      <c r="N124" s="71"/>
      <c r="O124" s="71"/>
      <c r="P124" s="71"/>
      <c r="Q124" s="71"/>
      <c r="R124" s="71"/>
      <c r="S124" s="71"/>
      <c r="U124" s="85"/>
      <c r="V124" s="71"/>
      <c r="W124" s="71"/>
      <c r="X124" s="71"/>
      <c r="Y124" s="71"/>
      <c r="Z124" s="71"/>
      <c r="AA124" s="71"/>
      <c r="AB124" s="71"/>
      <c r="AC124" s="71"/>
    </row>
    <row r="125" spans="1:30" s="50" customFormat="1" ht="50.25" customHeight="1" x14ac:dyDescent="0.2">
      <c r="A125" s="1430" t="s">
        <v>25</v>
      </c>
      <c r="B125" s="1431" t="s">
        <v>26</v>
      </c>
      <c r="C125" s="1432" t="s">
        <v>269</v>
      </c>
      <c r="D125" s="1431" t="s">
        <v>27</v>
      </c>
      <c r="E125" s="1432" t="s">
        <v>270</v>
      </c>
      <c r="F125" s="1431" t="s">
        <v>450</v>
      </c>
      <c r="G125" s="1431" t="s">
        <v>451</v>
      </c>
      <c r="H125" s="1431" t="s">
        <v>276</v>
      </c>
      <c r="I125" s="1431" t="s">
        <v>452</v>
      </c>
      <c r="J125" s="1433" t="s">
        <v>277</v>
      </c>
      <c r="K125" s="1430" t="s">
        <v>25</v>
      </c>
      <c r="L125" s="1431" t="s">
        <v>26</v>
      </c>
      <c r="M125" s="1432" t="s">
        <v>269</v>
      </c>
      <c r="N125" s="1431" t="s">
        <v>27</v>
      </c>
      <c r="O125" s="1432" t="s">
        <v>270</v>
      </c>
      <c r="P125" s="1431" t="s">
        <v>271</v>
      </c>
      <c r="Q125" s="1431" t="s">
        <v>272</v>
      </c>
      <c r="R125" s="1431" t="s">
        <v>273</v>
      </c>
      <c r="S125" s="1431" t="s">
        <v>274</v>
      </c>
      <c r="T125" s="1433" t="s">
        <v>275</v>
      </c>
      <c r="U125" s="1430" t="s">
        <v>25</v>
      </c>
      <c r="V125" s="1431" t="s">
        <v>26</v>
      </c>
      <c r="W125" s="1432" t="s">
        <v>269</v>
      </c>
      <c r="X125" s="1431" t="s">
        <v>27</v>
      </c>
      <c r="Y125" s="1432" t="s">
        <v>270</v>
      </c>
      <c r="Z125" s="1431" t="s">
        <v>156</v>
      </c>
      <c r="AA125" s="1431" t="s">
        <v>157</v>
      </c>
      <c r="AB125" s="1431" t="s">
        <v>158</v>
      </c>
      <c r="AC125" s="1431" t="s">
        <v>159</v>
      </c>
      <c r="AD125" s="1433" t="s">
        <v>160</v>
      </c>
    </row>
    <row r="126" spans="1:30" x14ac:dyDescent="0.2">
      <c r="A126" s="1434" t="s">
        <v>172</v>
      </c>
      <c r="B126" s="1435">
        <f>IF(SUM(B7:B10)=0,1000*($A11+$A7)/2,1000*SUM(C7:C10)/SUM(B7:B10))</f>
        <v>12910.741902308606</v>
      </c>
      <c r="C126" s="1436">
        <f t="shared" ref="C126:C136" si="21">B126/OPDAYS_Cls1</f>
        <v>51.642967609234425</v>
      </c>
      <c r="D126" s="1435">
        <f>IF(SUM(D7:D10)=0,1000*($A11+$A7)/2,1000*SUM(E7:E10)/SUM(D7:D10))</f>
        <v>11981.137158378011</v>
      </c>
      <c r="E126" s="1436">
        <f t="shared" ref="E126:E136" si="22">D126/OPDAYS_Cls1</f>
        <v>47.924548633512046</v>
      </c>
      <c r="F126" s="1437">
        <f>SUM(F7:F10)</f>
        <v>7.9460669190030697E-3</v>
      </c>
      <c r="G126" s="1437">
        <f>SUM(G7:G10)</f>
        <v>8.9762242961142352E-4</v>
      </c>
      <c r="H126" s="1437">
        <f>SUM(H7:H10)</f>
        <v>1.2963682068270432E-2</v>
      </c>
      <c r="I126" s="1437">
        <f>SUM(I7:I10)</f>
        <v>1.3589913425833078E-3</v>
      </c>
      <c r="J126" s="1438">
        <f>H126+F126</f>
        <v>2.0909748987273501E-2</v>
      </c>
      <c r="K126" s="1434" t="s">
        <v>172</v>
      </c>
      <c r="L126" s="1435">
        <f>IF(SUM(L7:L10)=0,1000*($A11+$A7)/2,1000*SUM(M7:M10)/SUM(L7:L10))</f>
        <v>12333.113317998816</v>
      </c>
      <c r="M126" s="1436">
        <f t="shared" ref="M126:M136" si="23">L126/OPDAYS_Cls2</f>
        <v>49.332453271995263</v>
      </c>
      <c r="N126" s="1435">
        <f>IF(SUM(N7:N10)=0,1000*($A11+$A7)/2,1000*SUM(O7:O10)/SUM(N7:N10))</f>
        <v>13578.656537381032</v>
      </c>
      <c r="O126" s="1436">
        <f t="shared" ref="O126:O136" si="24">N126/OPDAYS_Cls2</f>
        <v>54.31462614952413</v>
      </c>
      <c r="P126" s="1437">
        <f>SUM(P7:P10)</f>
        <v>3.9559734044076443E-2</v>
      </c>
      <c r="Q126" s="1437">
        <f>SUM(Q7:Q10)</f>
        <v>6.3375455551975849E-3</v>
      </c>
      <c r="R126" s="1437">
        <f>SUM(R7:R10)</f>
        <v>4.6052840844996765E-2</v>
      </c>
      <c r="S126" s="1437">
        <f>SUM(S7:S10)</f>
        <v>8.1228463417563086E-3</v>
      </c>
      <c r="T126" s="1438">
        <f>R126+P126</f>
        <v>8.5612574889073201E-2</v>
      </c>
      <c r="U126" s="1434" t="s">
        <v>172</v>
      </c>
      <c r="V126" s="1435">
        <f>IF(SUM(V7:V10)=0,1000*($A11+$A7)/2,1000*SUM(W7:W10)/SUM(V7:V10))</f>
        <v>12300.701290506642</v>
      </c>
      <c r="W126" s="1436">
        <f t="shared" ref="W126:W136" si="25">V126/OPDAYS_Cls3</f>
        <v>49.202805162026571</v>
      </c>
      <c r="X126" s="1435">
        <f>IF(SUM(X7:X10)=0,1000*($A11+$A7)/2,1000*SUM(Y7:Y10)/SUM(X7:X10))</f>
        <v>11455.131977377026</v>
      </c>
      <c r="Y126" s="1436">
        <f t="shared" ref="Y126:Y136" si="26">X126/OPDAYS_Cls3</f>
        <v>45.820527909508108</v>
      </c>
      <c r="Z126" s="1437">
        <f>SUM(Z7:Z10)</f>
        <v>0.16490316390132354</v>
      </c>
      <c r="AA126" s="1437">
        <f>SUM(AA7:AA10)</f>
        <v>7.4407503791532936E-2</v>
      </c>
      <c r="AB126" s="1437">
        <f>SUM(AB7:AB10)</f>
        <v>0.27324001996593789</v>
      </c>
      <c r="AC126" s="1437">
        <f>SUM(AC7:AC10)</f>
        <v>0.11481596497083862</v>
      </c>
      <c r="AD126" s="1438">
        <f>Z126+AB126</f>
        <v>0.43814318386726142</v>
      </c>
    </row>
    <row r="127" spans="1:30" x14ac:dyDescent="0.2">
      <c r="A127" s="1439" t="s">
        <v>173</v>
      </c>
      <c r="B127" s="1440">
        <f>IF(SUM(B11:B14)=0,1000*($A11+$A15)/2,1000*SUM(C11:C14)/SUM(B11:B14))</f>
        <v>27744.333544620586</v>
      </c>
      <c r="C127" s="1441">
        <f t="shared" si="21"/>
        <v>110.97733417848234</v>
      </c>
      <c r="D127" s="1440">
        <f>IF(SUM(D11:D14)=0,1000*($A11+$A15)/2,1000*SUM(E11:E14)/SUM(D11:D14))</f>
        <v>28140.973034656869</v>
      </c>
      <c r="E127" s="1441">
        <f t="shared" si="22"/>
        <v>112.56389213862748</v>
      </c>
      <c r="F127" s="1442">
        <f>SUM(F11:F14)</f>
        <v>4.9615201402207001E-3</v>
      </c>
      <c r="G127" s="1442">
        <f>SUM(G11:G14)</f>
        <v>1.2044238150123706E-3</v>
      </c>
      <c r="H127" s="1442">
        <f>SUM(H11:H14)</f>
        <v>2.3837141813212878E-2</v>
      </c>
      <c r="I127" s="1442">
        <f>SUM(I11:I14)</f>
        <v>5.8692629772239642E-3</v>
      </c>
      <c r="J127" s="1443">
        <f t="shared" ref="J127:J136" si="27">H127+F127</f>
        <v>2.8798661953433578E-2</v>
      </c>
      <c r="K127" s="1439" t="s">
        <v>173</v>
      </c>
      <c r="L127" s="1440">
        <f>IF(SUM(L11:L14)=0,1000*($A11+$A15)/2,1000*SUM(M11:M14)/SUM(L11:L14))</f>
        <v>30028.602619475849</v>
      </c>
      <c r="M127" s="1441">
        <f t="shared" si="23"/>
        <v>120.11441047790339</v>
      </c>
      <c r="N127" s="1440">
        <f>IF(SUM(N11:N14)=0,1000*($A11+$A15)/2,1000*SUM(O11:O14)/SUM(N11:N14))</f>
        <v>31655.779111861659</v>
      </c>
      <c r="O127" s="1441">
        <f t="shared" si="24"/>
        <v>126.62311644744663</v>
      </c>
      <c r="P127" s="1442">
        <f>SUM(P11:P14)</f>
        <v>8.9650908809480775E-2</v>
      </c>
      <c r="Q127" s="1442">
        <f>SUM(Q11:Q14)</f>
        <v>3.496913005496359E-2</v>
      </c>
      <c r="R127" s="1442">
        <f>SUM(R11:R14)</f>
        <v>6.7033462620106746E-2</v>
      </c>
      <c r="S127" s="1442">
        <f>SUM(S11:S14)</f>
        <v>2.7563836768431361E-2</v>
      </c>
      <c r="T127" s="1443">
        <f t="shared" ref="T127:T136" si="28">R127+P127</f>
        <v>0.15668437142958752</v>
      </c>
      <c r="U127" s="1439" t="s">
        <v>173</v>
      </c>
      <c r="V127" s="1440">
        <f>IF(SUM(V11:V14)=0,1000*($A11+$A15)/2,1000*SUM(W11:W14)/SUM(V11:V14))</f>
        <v>28999.059232210555</v>
      </c>
      <c r="W127" s="1441">
        <f t="shared" si="25"/>
        <v>115.99623692884222</v>
      </c>
      <c r="X127" s="1440">
        <f>IF(SUM(X11:X14)=0,1000*($A11+$A15)/2,1000*SUM(Y11:Y14)/SUM(X11:X14))</f>
        <v>28726.510858795609</v>
      </c>
      <c r="Y127" s="1441">
        <f t="shared" si="26"/>
        <v>114.90604343518244</v>
      </c>
      <c r="Z127" s="1442">
        <f>SUM(Z11:Z14)</f>
        <v>0.14150050624583405</v>
      </c>
      <c r="AA127" s="1442">
        <f>SUM(AA11:AA14)</f>
        <v>0.15052192967997111</v>
      </c>
      <c r="AB127" s="1442">
        <f>SUM(AB11:AB14)</f>
        <v>0.25610450783680394</v>
      </c>
      <c r="AC127" s="1442">
        <f>SUM(AC11:AC14)</f>
        <v>0.26987209279577573</v>
      </c>
      <c r="AD127" s="1443">
        <f t="shared" ref="AD127:AD136" si="29">Z127+AB127</f>
        <v>0.39760501408263799</v>
      </c>
    </row>
    <row r="128" spans="1:30" x14ac:dyDescent="0.2">
      <c r="A128" s="1439" t="s">
        <v>174</v>
      </c>
      <c r="B128" s="1440">
        <f>IF(SUM(B15:B18)=0,1000*($A15+$A19)/2,1000*SUM(C15:C18)/SUM(B15:B18))</f>
        <v>51100.561458878678</v>
      </c>
      <c r="C128" s="1441">
        <f t="shared" si="21"/>
        <v>204.40224583551472</v>
      </c>
      <c r="D128" s="1440">
        <f>IF(SUM(D15:D18)=0,1000*($A15+$A19)/2,1000*SUM(E15:E18)/SUM(D15:D18))</f>
        <v>53668.200550595066</v>
      </c>
      <c r="E128" s="1441">
        <f t="shared" si="22"/>
        <v>214.67280220238027</v>
      </c>
      <c r="F128" s="1442">
        <f>SUM(F15:F18)</f>
        <v>9.2815995818941767E-3</v>
      </c>
      <c r="G128" s="1442">
        <f>SUM(G15:G18)</f>
        <v>4.1499109643594731E-3</v>
      </c>
      <c r="H128" s="1442">
        <f>SUM(H15:H18)</f>
        <v>2.5768680683356839E-2</v>
      </c>
      <c r="I128" s="1442">
        <f>SUM(I15:I18)</f>
        <v>1.2100393581509007E-2</v>
      </c>
      <c r="J128" s="1443">
        <f t="shared" si="27"/>
        <v>3.5050280265251019E-2</v>
      </c>
      <c r="K128" s="1439" t="s">
        <v>174</v>
      </c>
      <c r="L128" s="1440">
        <f>IF(SUM(L15:L18)=0,1000*($A15+$A19)/2,1000*SUM(M15:M18)/SUM(L15:L18))</f>
        <v>50247.894924517714</v>
      </c>
      <c r="M128" s="1441">
        <f t="shared" si="23"/>
        <v>200.99157969807086</v>
      </c>
      <c r="N128" s="1440">
        <f>IF(SUM(N15:N18)=0,1000*($A15+$A19)/2,1000*SUM(O15:O18)/SUM(N15:N18))</f>
        <v>51742.06587894004</v>
      </c>
      <c r="O128" s="1441">
        <f t="shared" si="24"/>
        <v>206.96826351576016</v>
      </c>
      <c r="P128" s="1442">
        <f>SUM(P15:P18)</f>
        <v>9.1857251580802685E-2</v>
      </c>
      <c r="Q128" s="1442">
        <f>SUM(Q15:Q18)</f>
        <v>5.9955127131675522E-2</v>
      </c>
      <c r="R128" s="1442">
        <f>SUM(R15:R18)</f>
        <v>6.2316087841293416E-2</v>
      </c>
      <c r="S128" s="1442">
        <f>SUM(S15:S18)</f>
        <v>4.1883113088337191E-2</v>
      </c>
      <c r="T128" s="1443">
        <f t="shared" si="28"/>
        <v>0.1541733394220961</v>
      </c>
      <c r="U128" s="1439" t="s">
        <v>174</v>
      </c>
      <c r="V128" s="1440">
        <f>IF(SUM(V15:V18)=0,1000*($A15+$A19)/2,1000*SUM(W15:W18)/SUM(V15:V18))</f>
        <v>47735.351895067091</v>
      </c>
      <c r="W128" s="1441">
        <f t="shared" si="25"/>
        <v>190.94140758026836</v>
      </c>
      <c r="X128" s="1440">
        <f>IF(SUM(X15:X18)=0,1000*($A15+$A19)/2,1000*SUM(Y15:Y18)/SUM(X15:X18))</f>
        <v>49073.514839852294</v>
      </c>
      <c r="Y128" s="1441">
        <f t="shared" si="26"/>
        <v>196.29405935940918</v>
      </c>
      <c r="Z128" s="1442">
        <f>SUM(Z15:Z18)</f>
        <v>5.0842757108027201E-2</v>
      </c>
      <c r="AA128" s="1442">
        <f>SUM(AA15:AA18)</f>
        <v>8.9028098283245441E-2</v>
      </c>
      <c r="AB128" s="1442">
        <f>SUM(AB15:AB18)</f>
        <v>4.6572125423937315E-2</v>
      </c>
      <c r="AC128" s="1442">
        <f>SUM(AC15:AC18)</f>
        <v>8.3836105982992667E-2</v>
      </c>
      <c r="AD128" s="1443">
        <f t="shared" si="29"/>
        <v>9.7414882531964508E-2</v>
      </c>
    </row>
    <row r="129" spans="1:30" x14ac:dyDescent="0.2">
      <c r="A129" s="1439" t="s">
        <v>175</v>
      </c>
      <c r="B129" s="1440">
        <f>IF(SUM(B19:B22)=0,1000*($A19+$A23)/2,1000*SUM(C19:C22)/SUM(B19:B22))</f>
        <v>72561.526432118029</v>
      </c>
      <c r="C129" s="1441">
        <f t="shared" si="21"/>
        <v>290.24610572847212</v>
      </c>
      <c r="D129" s="1440">
        <f>IF(SUM(D19:D22)=0,1000*($A19+$A23)/2,1000*SUM(E19:E22)/SUM(D19:D22))</f>
        <v>72075.466860657005</v>
      </c>
      <c r="E129" s="1441">
        <f t="shared" si="22"/>
        <v>288.30186744262801</v>
      </c>
      <c r="F129" s="1442">
        <f>SUM(F19:F22)</f>
        <v>3.0833513121077051E-2</v>
      </c>
      <c r="G129" s="1442">
        <f>SUM(G19:G22)</f>
        <v>1.9575808105519295E-2</v>
      </c>
      <c r="H129" s="1442">
        <f>SUM(H19:H22)</f>
        <v>5.7965433078982248E-2</v>
      </c>
      <c r="I129" s="1442">
        <f>SUM(I19:I22)</f>
        <v>3.6555003327388577E-2</v>
      </c>
      <c r="J129" s="1443">
        <f t="shared" si="27"/>
        <v>8.8798946200059292E-2</v>
      </c>
      <c r="K129" s="1439" t="s">
        <v>175</v>
      </c>
      <c r="L129" s="1440">
        <f>IF(SUM(L19:L22)=0,1000*($A19+$A23)/2,1000*SUM(M19:M22)/SUM(L19:L22))</f>
        <v>70246.053560314816</v>
      </c>
      <c r="M129" s="1441">
        <f t="shared" si="23"/>
        <v>280.98421424125928</v>
      </c>
      <c r="N129" s="1440">
        <f>IF(SUM(N19:N22)=0,1000*($A19+$A23)/2,1000*SUM(O19:O22)/SUM(N19:N22))</f>
        <v>71616.500328747949</v>
      </c>
      <c r="O129" s="1441">
        <f t="shared" si="24"/>
        <v>286.46600131499179</v>
      </c>
      <c r="P129" s="1442">
        <f>SUM(P19:P22)</f>
        <v>9.271536797287637E-2</v>
      </c>
      <c r="Q129" s="1442">
        <f>SUM(Q19:Q22)</f>
        <v>8.4599669387910512E-2</v>
      </c>
      <c r="R129" s="1442">
        <f>SUM(R19:R22)</f>
        <v>6.9108422941336428E-2</v>
      </c>
      <c r="S129" s="1442">
        <f>SUM(S19:S22)</f>
        <v>6.4289357588678764E-2</v>
      </c>
      <c r="T129" s="1443">
        <f t="shared" si="28"/>
        <v>0.16182379091421278</v>
      </c>
      <c r="U129" s="1439" t="s">
        <v>175</v>
      </c>
      <c r="V129" s="1440">
        <f>IF(SUM(V19:V22)=0,1000*($A19+$A23)/2,1000*SUM(W19:W22)/SUM(V19:V22))</f>
        <v>70682.061428958856</v>
      </c>
      <c r="W129" s="1441">
        <f t="shared" si="25"/>
        <v>282.72824571583544</v>
      </c>
      <c r="X129" s="1440">
        <f>IF(SUM(X19:X22)=0,1000*($A19+$A23)/2,1000*SUM(Y19:Y22)/SUM(X19:X22))</f>
        <v>71616.08895539795</v>
      </c>
      <c r="Y129" s="1441">
        <f t="shared" si="26"/>
        <v>286.46435582159182</v>
      </c>
      <c r="Z129" s="1442">
        <f>SUM(Z19:Z22)</f>
        <v>1.7493235097392132E-2</v>
      </c>
      <c r="AA129" s="1442">
        <f>SUM(AA19:AA22)</f>
        <v>4.5356257743642811E-2</v>
      </c>
      <c r="AB129" s="1442">
        <f>SUM(AB19:AB22)</f>
        <v>2.2779497082922668E-2</v>
      </c>
      <c r="AC129" s="1442">
        <f>SUM(AC19:AC22)</f>
        <v>5.9842896537765707E-2</v>
      </c>
      <c r="AD129" s="1443">
        <f t="shared" si="29"/>
        <v>4.0272732180314796E-2</v>
      </c>
    </row>
    <row r="130" spans="1:30" x14ac:dyDescent="0.2">
      <c r="A130" s="1439" t="s">
        <v>176</v>
      </c>
      <c r="B130" s="1440">
        <f>IF(SUM(B23:B26)=0,1000*($A23+$A27)/2,1000*SUM(C23:C26)/SUM(B23:B26))</f>
        <v>91189.376048162099</v>
      </c>
      <c r="C130" s="1441">
        <f t="shared" si="21"/>
        <v>364.75750419264841</v>
      </c>
      <c r="D130" s="1440">
        <f>IF(SUM(D23:D26)=0,1000*($A23+$A27)/2,1000*SUM(E23:E26)/SUM(D23:D26))</f>
        <v>92150.223026373118</v>
      </c>
      <c r="E130" s="1441">
        <f t="shared" si="22"/>
        <v>368.60089210549245</v>
      </c>
      <c r="F130" s="1442">
        <f>SUM(F23:F26)</f>
        <v>4.3269302277925595E-2</v>
      </c>
      <c r="G130" s="1442">
        <f>SUM(G23:G26)</f>
        <v>3.4523467949689302E-2</v>
      </c>
      <c r="H130" s="1442">
        <f>SUM(H23:H26)</f>
        <v>0.10312619102844889</v>
      </c>
      <c r="I130" s="1442">
        <f>SUM(I23:I26)</f>
        <v>8.3148735051829181E-2</v>
      </c>
      <c r="J130" s="1443">
        <f t="shared" si="27"/>
        <v>0.14639549330637447</v>
      </c>
      <c r="K130" s="1439" t="s">
        <v>176</v>
      </c>
      <c r="L130" s="1440">
        <f>IF(SUM(L23:L26)=0,1000*($A23+$A27)/2,1000*SUM(M23:M26)/SUM(L23:L26))</f>
        <v>89551.611312238136</v>
      </c>
      <c r="M130" s="1441">
        <f t="shared" si="23"/>
        <v>358.20644524895255</v>
      </c>
      <c r="N130" s="1440">
        <f>IF(SUM(N23:N26)=0,1000*($A23+$A27)/2,1000*SUM(O23:O26)/SUM(N23:N26))</f>
        <v>89740.972704267871</v>
      </c>
      <c r="O130" s="1441">
        <f t="shared" si="24"/>
        <v>358.9638908170715</v>
      </c>
      <c r="P130" s="1442">
        <f>SUM(P23:P26)</f>
        <v>0.10920126324528824</v>
      </c>
      <c r="Q130" s="1442">
        <f>SUM(Q23:Q26)</f>
        <v>0.12702701008436962</v>
      </c>
      <c r="R130" s="1442">
        <f>SUM(R23:R26)</f>
        <v>7.8222088301235171E-2</v>
      </c>
      <c r="S130" s="1442">
        <f>SUM(S23:S26)</f>
        <v>9.1183275251204537E-2</v>
      </c>
      <c r="T130" s="1443">
        <f t="shared" si="28"/>
        <v>0.1874233515465234</v>
      </c>
      <c r="U130" s="1439" t="s">
        <v>176</v>
      </c>
      <c r="V130" s="1440">
        <f>IF(SUM(V23:V26)=0,1000*($A23+$A27)/2,1000*SUM(W23:W26)/SUM(V23:V26))</f>
        <v>87276.442894282722</v>
      </c>
      <c r="W130" s="1441">
        <f t="shared" si="25"/>
        <v>349.10577157713089</v>
      </c>
      <c r="X130" s="1440">
        <f>IF(SUM(X23:X26)=0,1000*($A23+$A27)/2,1000*SUM(Y23:Y26)/SUM(X23:X26))</f>
        <v>88060.84854827018</v>
      </c>
      <c r="Y130" s="1441">
        <f t="shared" si="26"/>
        <v>352.24339419308075</v>
      </c>
      <c r="Z130" s="1442">
        <f>SUM(Z23:Z26)</f>
        <v>6.5645600537602268E-3</v>
      </c>
      <c r="AA130" s="1442">
        <f>SUM(AA23:AA26)</f>
        <v>2.1016507050137231E-2</v>
      </c>
      <c r="AB130" s="1442">
        <f>SUM(AB23:AB26)</f>
        <v>5.0811779544371336E-3</v>
      </c>
      <c r="AC130" s="1442">
        <f>SUM(AC23:AC26)</f>
        <v>1.6413649143963899E-2</v>
      </c>
      <c r="AD130" s="1443">
        <f t="shared" si="29"/>
        <v>1.164573800819736E-2</v>
      </c>
    </row>
    <row r="131" spans="1:30" x14ac:dyDescent="0.2">
      <c r="A131" s="1439" t="s">
        <v>177</v>
      </c>
      <c r="B131" s="1440">
        <f>IF(SUM(B27:B30)=0,1000*($A27+$A31)/2,1000*SUM(C27:C30)/SUM(B27:B30))</f>
        <v>110907.81722277345</v>
      </c>
      <c r="C131" s="1441">
        <f t="shared" si="21"/>
        <v>443.63126889109378</v>
      </c>
      <c r="D131" s="1440">
        <f>IF(SUM(D27:D30)=0,1000*($A27+$A31)/2,1000*SUM(E27:E30)/SUM(D27:D30))</f>
        <v>111828.89697483131</v>
      </c>
      <c r="E131" s="1441">
        <f t="shared" si="22"/>
        <v>447.31558789932524</v>
      </c>
      <c r="F131" s="1442">
        <f>SUM(F27:F30)</f>
        <v>2.8144935330937017E-2</v>
      </c>
      <c r="G131" s="1442">
        <f>SUM(G27:G30)</f>
        <v>2.7311948935134379E-2</v>
      </c>
      <c r="H131" s="1442">
        <f>SUM(H27:H30)</f>
        <v>0.18550667796975542</v>
      </c>
      <c r="I131" s="1442">
        <f>SUM(I27:I30)</f>
        <v>0.18151138394047112</v>
      </c>
      <c r="J131" s="1443">
        <f t="shared" si="27"/>
        <v>0.21365161330069243</v>
      </c>
      <c r="K131" s="1439" t="s">
        <v>177</v>
      </c>
      <c r="L131" s="1440">
        <f>IF(SUM(L27:L30)=0,1000*($A27+$A31)/2,1000*SUM(M27:M30)/SUM(L27:L30))</f>
        <v>108207.01367942672</v>
      </c>
      <c r="M131" s="1441">
        <f t="shared" si="23"/>
        <v>432.82805471770689</v>
      </c>
      <c r="N131" s="1440">
        <f>IF(SUM(N27:N30)=0,1000*($A27+$A31)/2,1000*SUM(O27:O30)/SUM(N27:N30))</f>
        <v>112638.86454910832</v>
      </c>
      <c r="O131" s="1441">
        <f t="shared" si="24"/>
        <v>450.55545819643328</v>
      </c>
      <c r="P131" s="1442">
        <f>SUM(P27:P30)</f>
        <v>4.7813378096654632E-2</v>
      </c>
      <c r="Q131" s="1442">
        <f>SUM(Q27:Q30)</f>
        <v>6.7204731283582092E-2</v>
      </c>
      <c r="R131" s="1442">
        <f>SUM(R27:R30)</f>
        <v>3.5529474750239771E-2</v>
      </c>
      <c r="S131" s="1442">
        <f>SUM(S27:S30)</f>
        <v>5.1984283219922628E-2</v>
      </c>
      <c r="T131" s="1443">
        <f t="shared" si="28"/>
        <v>8.3342852846894411E-2</v>
      </c>
      <c r="U131" s="1439" t="s">
        <v>177</v>
      </c>
      <c r="V131" s="1440">
        <f>IF(SUM(V27:V30)=0,1000*($A27+$A31)/2,1000*SUM(W27:W30)/SUM(V27:V30))</f>
        <v>102231</v>
      </c>
      <c r="W131" s="1441">
        <f t="shared" si="25"/>
        <v>408.92399999999998</v>
      </c>
      <c r="X131" s="1440">
        <f>IF(SUM(X27:X30)=0,1000*($A27+$A31)/2,1000*SUM(Y27:Y30)/SUM(X27:X30))</f>
        <v>106769.51106158529</v>
      </c>
      <c r="Y131" s="1441">
        <f t="shared" si="26"/>
        <v>427.07804424634116</v>
      </c>
      <c r="Z131" s="1442">
        <f>SUM(Z27:Z30)</f>
        <v>1.3068268788829179E-4</v>
      </c>
      <c r="AA131" s="1442">
        <f>SUM(AA27:AA30)</f>
        <v>4.9007047894213725E-4</v>
      </c>
      <c r="AB131" s="1442">
        <f>SUM(AB27:AB30)</f>
        <v>2.5955840495899339E-3</v>
      </c>
      <c r="AC131" s="1442">
        <f>SUM(AC27:AC30)</f>
        <v>1.0165768727376887E-2</v>
      </c>
      <c r="AD131" s="1443">
        <f t="shared" si="29"/>
        <v>2.7262667374782258E-3</v>
      </c>
    </row>
    <row r="132" spans="1:30" x14ac:dyDescent="0.2">
      <c r="A132" s="1439" t="s">
        <v>178</v>
      </c>
      <c r="B132" s="1440">
        <f>IF(SUM(B31:B34)=0,1000*($A31+$A35)/2,1000*SUM(C31:C34)/SUM(B31:B34))</f>
        <v>126695.33557343495</v>
      </c>
      <c r="C132" s="1441">
        <f t="shared" si="21"/>
        <v>506.78134229373978</v>
      </c>
      <c r="D132" s="1440">
        <f>IF(SUM(D31:D34)=0,1000*($A31+$A35)/2,1000*SUM(E31:E34)/SUM(D31:D34))</f>
        <v>127822.07987524466</v>
      </c>
      <c r="E132" s="1441">
        <f t="shared" si="22"/>
        <v>511.28831950097862</v>
      </c>
      <c r="F132" s="1442">
        <f>SUM(F31:F34)</f>
        <v>6.8990329765143715E-2</v>
      </c>
      <c r="G132" s="1442">
        <f>SUM(G31:G34)</f>
        <v>7.6478458482655817E-2</v>
      </c>
      <c r="H132" s="1442">
        <f>SUM(H31:H34)</f>
        <v>0.21310728355070049</v>
      </c>
      <c r="I132" s="1442">
        <f>SUM(I31:I34)</f>
        <v>0.2383386372324876</v>
      </c>
      <c r="J132" s="1443">
        <f t="shared" si="27"/>
        <v>0.28209761331584421</v>
      </c>
      <c r="K132" s="1439" t="s">
        <v>178</v>
      </c>
      <c r="L132" s="1440">
        <f>IF(SUM(L31:L34)=0,1000*($A31+$A35)/2,1000*SUM(M31:M34)/SUM(L31:L34))</f>
        <v>129276.53779524955</v>
      </c>
      <c r="M132" s="1441">
        <f t="shared" si="23"/>
        <v>517.10615118099815</v>
      </c>
      <c r="N132" s="1440">
        <f>IF(SUM(N31:N34)=0,1000*($A31+$A35)/2,1000*SUM(O31:O34)/SUM(N31:N34))</f>
        <v>127982.74620603543</v>
      </c>
      <c r="O132" s="1441">
        <f t="shared" si="24"/>
        <v>511.93098482414172</v>
      </c>
      <c r="P132" s="1442">
        <f>SUM(P31:P34)</f>
        <v>5.2826626309680449E-2</v>
      </c>
      <c r="Q132" s="1442">
        <f>SUM(Q31:Q34)</f>
        <v>8.8708982453757024E-2</v>
      </c>
      <c r="R132" s="1442">
        <f>SUM(R31:R34)</f>
        <v>3.0248313910710867E-2</v>
      </c>
      <c r="S132" s="1442">
        <f>SUM(S31:S34)</f>
        <v>5.0286059545109812E-2</v>
      </c>
      <c r="T132" s="1443">
        <f t="shared" si="28"/>
        <v>8.3074940220391316E-2</v>
      </c>
      <c r="U132" s="1439" t="s">
        <v>178</v>
      </c>
      <c r="V132" s="1440">
        <f>IF(SUM(V31:V34)=0,1000*($A31+$A35)/2,1000*SUM(W31:W34)/SUM(V31:V34))</f>
        <v>135079.81709212752</v>
      </c>
      <c r="W132" s="1441">
        <f t="shared" si="25"/>
        <v>540.31926836851005</v>
      </c>
      <c r="X132" s="1440">
        <f>IF(SUM(X31:X34)=0,1000*($A31+$A35)/2,1000*SUM(Y31:Y34)/SUM(X31:X34))</f>
        <v>129899.70060269146</v>
      </c>
      <c r="Y132" s="1441">
        <f t="shared" si="26"/>
        <v>519.59880241076587</v>
      </c>
      <c r="Z132" s="1442">
        <f>SUM(Z31:Z34)</f>
        <v>2.9863696966199553E-3</v>
      </c>
      <c r="AA132" s="1442">
        <f>SUM(AA31:AA34)</f>
        <v>1.4797621296467818E-2</v>
      </c>
      <c r="AB132" s="1442">
        <f>SUM(AB31:AB34)</f>
        <v>4.3441677754441459E-3</v>
      </c>
      <c r="AC132" s="1442">
        <f>SUM(AC31:AC34)</f>
        <v>2.0700108148562976E-2</v>
      </c>
      <c r="AD132" s="1443">
        <f t="shared" si="29"/>
        <v>7.3305374720641012E-3</v>
      </c>
    </row>
    <row r="133" spans="1:30" x14ac:dyDescent="0.2">
      <c r="A133" s="1439" t="s">
        <v>179</v>
      </c>
      <c r="B133" s="1440">
        <f>IF(SUM(B35:B38)=0,1000*($A35+$A39)/2,1000*SUM(C35:C38)/SUM(B35:B38))</f>
        <v>148928.20853402285</v>
      </c>
      <c r="C133" s="1441">
        <f t="shared" si="21"/>
        <v>595.71283413609137</v>
      </c>
      <c r="D133" s="1440">
        <f>IF(SUM(D35:D38)=0,1000*($A35+$A39)/2,1000*SUM(E35:E38)/SUM(D35:D38))</f>
        <v>148934.3166459057</v>
      </c>
      <c r="E133" s="1441">
        <f t="shared" si="22"/>
        <v>595.73726658362273</v>
      </c>
      <c r="F133" s="1442">
        <f>SUM(F35:F38)</f>
        <v>2.4926184998997059E-2</v>
      </c>
      <c r="G133" s="1442">
        <f>SUM(G35:G38)</f>
        <v>3.2480526319280681E-2</v>
      </c>
      <c r="H133" s="1442">
        <f>SUM(H35:H38)</f>
        <v>7.3364250696428643E-2</v>
      </c>
      <c r="I133" s="1442">
        <f>SUM(I35:I38)</f>
        <v>9.5602564448196578E-2</v>
      </c>
      <c r="J133" s="1443">
        <f t="shared" si="27"/>
        <v>9.8290435695425699E-2</v>
      </c>
      <c r="K133" s="1439" t="s">
        <v>179</v>
      </c>
      <c r="L133" s="1440">
        <f>IF(SUM(L35:L38)=0,1000*($A35+$A39)/2,1000*SUM(M35:M38)/SUM(L35:L38))</f>
        <v>149452.17659597393</v>
      </c>
      <c r="M133" s="1441">
        <f t="shared" si="23"/>
        <v>597.8087063838957</v>
      </c>
      <c r="N133" s="1440">
        <f>IF(SUM(N35:N38)=0,1000*($A35+$A39)/2,1000*SUM(O35:O38)/SUM(N35:N38))</f>
        <v>144807.33408023277</v>
      </c>
      <c r="O133" s="1441">
        <f t="shared" si="24"/>
        <v>579.22933632093111</v>
      </c>
      <c r="P133" s="1442">
        <f>SUM(P35:P38)</f>
        <v>3.3324854637922362E-2</v>
      </c>
      <c r="Q133" s="1442">
        <f>SUM(Q35:Q38)</f>
        <v>6.4694225377098208E-2</v>
      </c>
      <c r="R133" s="1442">
        <f>SUM(R35:R38)</f>
        <v>8.2628405675757074E-3</v>
      </c>
      <c r="S133" s="1442">
        <f>SUM(S35:S38)</f>
        <v>1.5542287574292338E-2</v>
      </c>
      <c r="T133" s="1443">
        <f t="shared" si="28"/>
        <v>4.1587695205498071E-2</v>
      </c>
      <c r="U133" s="1439" t="s">
        <v>179</v>
      </c>
      <c r="V133" s="1440">
        <f>IF(SUM(V35:V38)=0,1000*($A35+$A39)/2,1000*SUM(W35:W38)/SUM(V35:V38))</f>
        <v>150000</v>
      </c>
      <c r="W133" s="1441">
        <f t="shared" si="25"/>
        <v>600</v>
      </c>
      <c r="X133" s="1440">
        <f>IF(SUM(X35:X38)=0,1000*($A35+$A39)/2,1000*SUM(Y35:Y38)/SUM(X35:X38))</f>
        <v>152108.66705176356</v>
      </c>
      <c r="Y133" s="1441">
        <f t="shared" si="26"/>
        <v>608.4346682070543</v>
      </c>
      <c r="Z133" s="1442">
        <f>SUM(Z35:Z38)</f>
        <v>0</v>
      </c>
      <c r="AA133" s="1442">
        <f>SUM(AA35:AA38)</f>
        <v>0</v>
      </c>
      <c r="AB133" s="1442">
        <f>SUM(AB35:AB38)</f>
        <v>3.7558983870508854E-3</v>
      </c>
      <c r="AC133" s="1442">
        <f>SUM(AC35:AC38)</f>
        <v>2.0956833812228508E-2</v>
      </c>
      <c r="AD133" s="1443">
        <f t="shared" si="29"/>
        <v>3.7558983870508854E-3</v>
      </c>
    </row>
    <row r="134" spans="1:30" x14ac:dyDescent="0.2">
      <c r="A134" s="1439" t="s">
        <v>180</v>
      </c>
      <c r="B134" s="1440">
        <f>IF(SUM(B39:B42)=0,1000*($A39+$A43)/2,1000*SUM(C39:C42)/SUM(B39:B42))</f>
        <v>170557.72479022425</v>
      </c>
      <c r="C134" s="1441">
        <f t="shared" si="21"/>
        <v>682.23089916089702</v>
      </c>
      <c r="D134" s="1440">
        <f>IF(SUM(D39:D42)=0,1000*($A39+$A43)/2,1000*SUM(E39:E42)/SUM(D39:D42))</f>
        <v>168027.74798810174</v>
      </c>
      <c r="E134" s="1441">
        <f t="shared" si="22"/>
        <v>672.11099195240695</v>
      </c>
      <c r="F134" s="1442">
        <f>SUM(F39:F42)</f>
        <v>7.8890239376675012E-3</v>
      </c>
      <c r="G134" s="1442">
        <f>SUM(G39:G42)</f>
        <v>1.1772940427842455E-2</v>
      </c>
      <c r="H134" s="1442">
        <f>SUM(H39:H42)</f>
        <v>1.9856733825595378E-2</v>
      </c>
      <c r="I134" s="1442">
        <f>SUM(I39:I42)</f>
        <v>2.9193025028929166E-2</v>
      </c>
      <c r="J134" s="1443">
        <f t="shared" si="27"/>
        <v>2.7745757763262879E-2</v>
      </c>
      <c r="K134" s="1439" t="s">
        <v>180</v>
      </c>
      <c r="L134" s="1440">
        <f>IF(SUM(L39:L42)=0,1000*($A39+$A43)/2,1000*SUM(M39:M42)/SUM(L39:L42))</f>
        <v>169233.54852390054</v>
      </c>
      <c r="M134" s="1441">
        <f t="shared" si="23"/>
        <v>676.93419409560215</v>
      </c>
      <c r="N134" s="1440">
        <f>IF(SUM(N39:N42)=0,1000*($A39+$A43)/2,1000*SUM(O39:O42)/SUM(N39:N42))</f>
        <v>173814.16392403719</v>
      </c>
      <c r="O134" s="1441">
        <f t="shared" si="24"/>
        <v>695.25665569614875</v>
      </c>
      <c r="P134" s="1442">
        <f>SUM(P39:P42)</f>
        <v>1.4796369103015083E-2</v>
      </c>
      <c r="Q134" s="1442">
        <f>SUM(Q39:Q42)</f>
        <v>3.2526447027526634E-2</v>
      </c>
      <c r="R134" s="1442">
        <f>SUM(R39:R42)</f>
        <v>6.4250307191884484E-3</v>
      </c>
      <c r="S134" s="1442">
        <f>SUM(S39:S42)</f>
        <v>1.4506257462625264E-2</v>
      </c>
      <c r="T134" s="1443">
        <f t="shared" si="28"/>
        <v>2.1221399822203529E-2</v>
      </c>
      <c r="U134" s="1439" t="s">
        <v>180</v>
      </c>
      <c r="V134" s="1440">
        <f>IF(SUM(V39:V42)=0,1000*($A39+$A43)/2,1000*SUM(W39:W42)/SUM(V39:V42))</f>
        <v>170000</v>
      </c>
      <c r="W134" s="1441">
        <f t="shared" si="25"/>
        <v>680</v>
      </c>
      <c r="X134" s="1440">
        <f>IF(SUM(X39:X42)=0,1000*($A39+$A43)/2,1000*SUM(Y39:Y42)/SUM(X39:X42))</f>
        <v>175800</v>
      </c>
      <c r="Y134" s="1441">
        <f t="shared" si="26"/>
        <v>703.2</v>
      </c>
      <c r="Z134" s="1442">
        <f>SUM(Z39:Z42)</f>
        <v>0</v>
      </c>
      <c r="AA134" s="1442">
        <f>SUM(AA39:AA42)</f>
        <v>0</v>
      </c>
      <c r="AB134" s="1442">
        <f>SUM(AB39:AB42)</f>
        <v>4.897828379299261E-4</v>
      </c>
      <c r="AC134" s="1442">
        <f>SUM(AC39:AC42)</f>
        <v>3.1584958359553582E-3</v>
      </c>
      <c r="AD134" s="1443">
        <f t="shared" si="29"/>
        <v>4.897828379299261E-4</v>
      </c>
    </row>
    <row r="135" spans="1:30" x14ac:dyDescent="0.2">
      <c r="A135" s="1439" t="s">
        <v>181</v>
      </c>
      <c r="B135" s="1440">
        <f>IF(SUM(B43:B46)=0,1000*($A43+$A47)/2,1000*SUM(C43:C46)/SUM(B43:B46))</f>
        <v>191316.0970688317</v>
      </c>
      <c r="C135" s="1441">
        <f t="shared" si="21"/>
        <v>765.26438827532684</v>
      </c>
      <c r="D135" s="1440">
        <f>IF(SUM(D43:D46)=0,1000*($A43+$A47)/2,1000*SUM(E43:E46)/SUM(D43:D46))</f>
        <v>189269.82544746815</v>
      </c>
      <c r="E135" s="1441">
        <f t="shared" si="22"/>
        <v>757.0793017898726</v>
      </c>
      <c r="F135" s="1442">
        <f>SUM(F43:F46)</f>
        <v>3.6046105934191604E-3</v>
      </c>
      <c r="G135" s="1442">
        <f>SUM(G43:G46)</f>
        <v>6.0339283082965706E-3</v>
      </c>
      <c r="H135" s="1442">
        <f>SUM(H43:H46)</f>
        <v>2.1261216059795113E-2</v>
      </c>
      <c r="I135" s="1442">
        <f>SUM(I43:I46)</f>
        <v>3.5209492159336005E-2</v>
      </c>
      <c r="J135" s="1443">
        <f t="shared" si="27"/>
        <v>2.4865826653214275E-2</v>
      </c>
      <c r="K135" s="1439" t="s">
        <v>181</v>
      </c>
      <c r="L135" s="1440">
        <f>IF(SUM(L43:L46)=0,1000*($A43+$A47)/2,1000*SUM(M43:M46)/SUM(L43:L46))</f>
        <v>186705.61306581408</v>
      </c>
      <c r="M135" s="1441">
        <f t="shared" si="23"/>
        <v>746.82245226325631</v>
      </c>
      <c r="N135" s="1440">
        <f>IF(SUM(N43:N46)=0,1000*($A43+$A47)/2,1000*SUM(O43:O46)/SUM(N43:N46))</f>
        <v>189951.70582690198</v>
      </c>
      <c r="O135" s="1441">
        <f t="shared" si="24"/>
        <v>759.80682330760794</v>
      </c>
      <c r="P135" s="1442">
        <f>SUM(P43:P46)</f>
        <v>6.5522293759777608E-3</v>
      </c>
      <c r="Q135" s="1442">
        <f>SUM(Q43:Q46)</f>
        <v>1.589064319454132E-2</v>
      </c>
      <c r="R135" s="1442">
        <f>SUM(R43:R46)</f>
        <v>1.9993158802676368E-3</v>
      </c>
      <c r="S135" s="1442">
        <f>SUM(S43:S46)</f>
        <v>4.9330966304706684E-3</v>
      </c>
      <c r="T135" s="1443">
        <f t="shared" si="28"/>
        <v>8.5515452562453971E-3</v>
      </c>
      <c r="U135" s="1439" t="s">
        <v>181</v>
      </c>
      <c r="V135" s="1440">
        <f>IF(SUM(V43:V46)=0,1000*($A43+$A47)/2,1000*SUM(W43:W46)/SUM(V43:V46))</f>
        <v>200000.00000000003</v>
      </c>
      <c r="W135" s="1441">
        <f t="shared" si="25"/>
        <v>800.00000000000011</v>
      </c>
      <c r="X135" s="1440">
        <f>IF(SUM(X43:X46)=0,1000*($A43+$A47)/2,1000*SUM(Y43:Y46)/SUM(X43:X46))</f>
        <v>190000</v>
      </c>
      <c r="Y135" s="1441">
        <f t="shared" si="26"/>
        <v>760</v>
      </c>
      <c r="Z135" s="1442">
        <f>SUM(Z43:Z46)</f>
        <v>5.0573390409248292E-4</v>
      </c>
      <c r="AA135" s="1442">
        <f>SUM(AA43:AA46)</f>
        <v>3.7103078033661591E-3</v>
      </c>
      <c r="AB135" s="1442">
        <f>SUM(AB43:AB46)</f>
        <v>0</v>
      </c>
      <c r="AC135" s="1442">
        <f>SUM(AC43:AC46)</f>
        <v>0</v>
      </c>
      <c r="AD135" s="1443">
        <f t="shared" si="29"/>
        <v>5.0573390409248292E-4</v>
      </c>
    </row>
    <row r="136" spans="1:30" ht="13.5" thickBot="1" x14ac:dyDescent="0.25">
      <c r="A136" s="1444" t="s">
        <v>182</v>
      </c>
      <c r="B136" s="1445">
        <f>IF(B47=0,200000,1000*C47/B47)</f>
        <v>242569.67756827583</v>
      </c>
      <c r="C136" s="1446">
        <f t="shared" si="21"/>
        <v>970.27871027310334</v>
      </c>
      <c r="D136" s="1445">
        <f>IF(D47=0,200000,1000*E47/D47)</f>
        <v>224042.00197938742</v>
      </c>
      <c r="E136" s="1446">
        <f t="shared" si="22"/>
        <v>896.16800791754974</v>
      </c>
      <c r="F136" s="1447">
        <f>SUM(F47:F48)</f>
        <v>7.5162351043371062E-3</v>
      </c>
      <c r="G136" s="1447">
        <f>SUM(G47:G48)</f>
        <v>1.5952440951210019E-2</v>
      </c>
      <c r="H136" s="1447">
        <f>SUM(H47:H48)</f>
        <v>2.5879387454831333E-2</v>
      </c>
      <c r="I136" s="1447">
        <f>SUM(I47:I48)</f>
        <v>5.0731034221433824E-2</v>
      </c>
      <c r="J136" s="1448">
        <f t="shared" si="27"/>
        <v>3.3395622559168441E-2</v>
      </c>
      <c r="K136" s="1444" t="s">
        <v>182</v>
      </c>
      <c r="L136" s="1445">
        <f>IF(L47=0,200000,1000*M47/L47)</f>
        <v>223982.06595211086</v>
      </c>
      <c r="M136" s="1446">
        <f t="shared" si="23"/>
        <v>895.92826380844349</v>
      </c>
      <c r="N136" s="1445">
        <f>IF(N47=0,200000,1000*O47/N47)</f>
        <v>220702.9179341534</v>
      </c>
      <c r="O136" s="1446">
        <f t="shared" si="24"/>
        <v>882.81167173661356</v>
      </c>
      <c r="P136" s="1447">
        <f>SUM(P47:P48)</f>
        <v>1.1207747736094297E-2</v>
      </c>
      <c r="Q136" s="1447">
        <f>SUM(Q47:Q48)</f>
        <v>3.2608183213810787E-2</v>
      </c>
      <c r="R136" s="1447">
        <f>SUM(R47:R48)</f>
        <v>5.2963907111801883E-3</v>
      </c>
      <c r="S136" s="1447">
        <f>SUM(S47:S48)</f>
        <v>1.5183891764738403E-2</v>
      </c>
      <c r="T136" s="1448">
        <f t="shared" si="28"/>
        <v>1.6504138447274486E-2</v>
      </c>
      <c r="U136" s="1444" t="s">
        <v>182</v>
      </c>
      <c r="V136" s="1445">
        <f>IF(V47=0,200000,1000*W47/V47)</f>
        <v>200000</v>
      </c>
      <c r="W136" s="1446">
        <f t="shared" si="25"/>
        <v>800</v>
      </c>
      <c r="X136" s="1445">
        <f>IF(X47=0,200000,1000*Y47/X47)</f>
        <v>225000</v>
      </c>
      <c r="Y136" s="1446">
        <f t="shared" si="26"/>
        <v>900</v>
      </c>
      <c r="Z136" s="1447">
        <f>SUM(Z47:Z48)</f>
        <v>0</v>
      </c>
      <c r="AA136" s="1447">
        <f>SUM(AA47:AA48)</f>
        <v>0</v>
      </c>
      <c r="AB136" s="1447">
        <f>SUM(AB47:AB48)</f>
        <v>1.1022999100839563E-4</v>
      </c>
      <c r="AC136" s="1447">
        <f>SUM(AC47:AC48)</f>
        <v>9.0978791723388369E-4</v>
      </c>
      <c r="AD136" s="1448">
        <f t="shared" si="29"/>
        <v>1.1022999100839563E-4</v>
      </c>
    </row>
    <row r="137" spans="1:30" s="50" customFormat="1" ht="13.5" thickTop="1" x14ac:dyDescent="0.2">
      <c r="A137" s="50" t="s">
        <v>39</v>
      </c>
      <c r="B137" s="1449">
        <f>+SUM(B126:B136)</f>
        <v>1246481.4001436508</v>
      </c>
      <c r="C137" s="1449"/>
      <c r="D137" s="1449">
        <f>+SUM(D126:D136)</f>
        <v>1227940.8695415989</v>
      </c>
      <c r="E137" s="1450"/>
      <c r="F137" s="1451">
        <f>+SUM(F126:F136)</f>
        <v>0.23736332177062214</v>
      </c>
      <c r="G137" s="1451">
        <f>+SUM(G126:G136)</f>
        <v>0.23038147668861178</v>
      </c>
      <c r="H137" s="1451">
        <f>+SUM(H126:H136)</f>
        <v>0.76263667822937764</v>
      </c>
      <c r="I137" s="1451">
        <f>+SUM(I126:I136)</f>
        <v>0.76961852331138836</v>
      </c>
      <c r="J137" s="1452">
        <f>SUM(J126:J136)</f>
        <v>0.99999999999999967</v>
      </c>
      <c r="L137" s="1449">
        <f>+SUM(L126:L136)</f>
        <v>1219264.2313470209</v>
      </c>
      <c r="M137" s="1449"/>
      <c r="N137" s="1449">
        <f>+SUM(N126:N136)</f>
        <v>1228231.7070816676</v>
      </c>
      <c r="O137" s="1450"/>
      <c r="P137" s="1451">
        <f>+SUM(P126:P136)</f>
        <v>0.58950573091186909</v>
      </c>
      <c r="Q137" s="1451">
        <f>+SUM(Q126:Q136)</f>
        <v>0.61452169476443286</v>
      </c>
      <c r="R137" s="1451">
        <f>+SUM(R126:R136)</f>
        <v>0.41049426908813114</v>
      </c>
      <c r="S137" s="1451">
        <f>+SUM(S126:S136)</f>
        <v>0.38547830523556714</v>
      </c>
      <c r="T137" s="1452">
        <f>SUM(T126:T136)</f>
        <v>1</v>
      </c>
      <c r="V137" s="1449">
        <f>+SUM(V126:V136)</f>
        <v>1204304.4338331535</v>
      </c>
      <c r="W137" s="1449"/>
      <c r="X137" s="1449">
        <f>+SUM(X126:X136)</f>
        <v>1228509.9738957332</v>
      </c>
      <c r="Y137" s="1450"/>
      <c r="Z137" s="1451">
        <f>+SUM(Z126:Z136)</f>
        <v>0.3849270086949379</v>
      </c>
      <c r="AA137" s="1451">
        <f>+SUM(AA126:AA136)</f>
        <v>0.39932829612730569</v>
      </c>
      <c r="AB137" s="1451">
        <f>+SUM(AB126:AB136)</f>
        <v>0.61507299130506221</v>
      </c>
      <c r="AC137" s="1451">
        <f>+SUM(AC126:AC136)</f>
        <v>0.6006717038726942</v>
      </c>
      <c r="AD137" s="1453">
        <f>SUM(AD126:AD136)</f>
        <v>1</v>
      </c>
    </row>
    <row r="138" spans="1:30" ht="13.5" thickBot="1" x14ac:dyDescent="0.25">
      <c r="B138" s="87"/>
      <c r="F138" s="72"/>
      <c r="G138" s="72"/>
      <c r="H138" s="72"/>
      <c r="I138" s="72"/>
      <c r="L138" s="87"/>
      <c r="P138" s="72"/>
      <c r="Q138" s="72"/>
      <c r="R138" s="72"/>
      <c r="S138" s="72"/>
      <c r="V138" s="87"/>
      <c r="Z138" s="72"/>
      <c r="AA138" s="72"/>
      <c r="AB138" s="72"/>
      <c r="AC138" s="72"/>
    </row>
    <row r="139" spans="1:30" s="1454" customFormat="1" ht="63" customHeight="1" thickBot="1" x14ac:dyDescent="0.25">
      <c r="J139" s="1455" t="s">
        <v>40</v>
      </c>
      <c r="K139" s="1615"/>
      <c r="L139" s="1616"/>
      <c r="M139" s="1619" t="s">
        <v>41</v>
      </c>
      <c r="N139" s="1620"/>
      <c r="O139" s="1620"/>
      <c r="P139" s="1620"/>
      <c r="Q139" s="1620"/>
      <c r="R139" s="1620"/>
      <c r="S139" s="1620"/>
      <c r="T139" s="1621"/>
    </row>
    <row r="140" spans="1:30" s="1456" customFormat="1" ht="54" customHeight="1" thickBot="1" x14ac:dyDescent="0.25">
      <c r="B140" s="1622" t="s">
        <v>42</v>
      </c>
      <c r="C140" s="1623"/>
      <c r="D140" s="1457" t="s">
        <v>10</v>
      </c>
      <c r="E140" s="1458" t="s">
        <v>43</v>
      </c>
      <c r="F140" s="1458" t="s">
        <v>44</v>
      </c>
      <c r="G140" s="1458" t="s">
        <v>45</v>
      </c>
      <c r="H140" s="1459" t="s">
        <v>46</v>
      </c>
      <c r="I140" s="1460"/>
      <c r="J140" s="1454"/>
      <c r="K140" s="1617"/>
      <c r="L140" s="1618"/>
      <c r="M140" s="1461" t="s">
        <v>47</v>
      </c>
      <c r="N140" s="1462" t="s">
        <v>48</v>
      </c>
      <c r="O140" s="1463" t="s">
        <v>47</v>
      </c>
      <c r="P140" s="1462" t="s">
        <v>48</v>
      </c>
      <c r="Q140" s="1463" t="s">
        <v>47</v>
      </c>
      <c r="R140" s="1462" t="s">
        <v>48</v>
      </c>
      <c r="S140" s="1463" t="s">
        <v>47</v>
      </c>
      <c r="T140" s="1462" t="s">
        <v>48</v>
      </c>
      <c r="U140" s="1464"/>
      <c r="V140" s="1464"/>
      <c r="W140" s="1464"/>
      <c r="X140" s="1464"/>
      <c r="Y140" s="1464"/>
      <c r="Z140" s="1464"/>
      <c r="AA140" s="1464"/>
      <c r="AB140" s="1464"/>
      <c r="AC140" s="1464"/>
      <c r="AD140" s="1464"/>
    </row>
    <row r="141" spans="1:30" s="50" customFormat="1" x14ac:dyDescent="0.2">
      <c r="B141" s="1465"/>
      <c r="C141" s="1466" t="s">
        <v>161</v>
      </c>
      <c r="D141" s="1467">
        <f>+B49</f>
        <v>32726.047499999982</v>
      </c>
      <c r="E141" s="1468">
        <f>+D141/$D$153</f>
        <v>0.11304551283324372</v>
      </c>
      <c r="F141" s="1467">
        <f>+C49</f>
        <v>3630255.7699999958</v>
      </c>
      <c r="G141" s="1469">
        <f>IF(F141=0,0,+F141/D141)</f>
        <v>110.92863475187457</v>
      </c>
      <c r="H141" s="1470"/>
      <c r="I141" s="1471"/>
      <c r="J141" s="48"/>
      <c r="K141" s="1624"/>
      <c r="L141" s="1625"/>
      <c r="M141" s="1626">
        <v>2007</v>
      </c>
      <c r="N141" s="1627"/>
      <c r="O141" s="1626">
        <v>2010</v>
      </c>
      <c r="P141" s="1627"/>
      <c r="Q141" s="1626">
        <v>2015</v>
      </c>
      <c r="R141" s="1627"/>
      <c r="S141" s="1626">
        <v>2020</v>
      </c>
      <c r="T141" s="1627"/>
    </row>
    <row r="142" spans="1:30" s="50" customFormat="1" ht="13.5" thickBot="1" x14ac:dyDescent="0.25">
      <c r="B142" s="1472"/>
      <c r="C142" s="1473" t="s">
        <v>162</v>
      </c>
      <c r="D142" s="1474">
        <f>+D49</f>
        <v>105147.18099999987</v>
      </c>
      <c r="E142" s="1475">
        <f>+D142/$D$153</f>
        <v>0.36320967263507431</v>
      </c>
      <c r="F142" s="1474">
        <f>+E49</f>
        <v>12127329.527999995</v>
      </c>
      <c r="G142" s="1476">
        <f>IF(F142=0,0,+F142/D142)</f>
        <v>115.33670624988045</v>
      </c>
      <c r="H142" s="1477"/>
      <c r="I142" s="1471"/>
      <c r="J142" s="48"/>
      <c r="K142" s="1630" t="s">
        <v>163</v>
      </c>
      <c r="L142" s="1631"/>
      <c r="M142" s="1478" t="e">
        <f>$F$143/#REF!</f>
        <v>#REF!</v>
      </c>
      <c r="N142" s="1479" t="e">
        <f>M142/M145</f>
        <v>#REF!</v>
      </c>
      <c r="O142" s="1478" t="e">
        <f>$F143/#REF!</f>
        <v>#REF!</v>
      </c>
      <c r="P142" s="1479" t="e">
        <f>O142/O145</f>
        <v>#REF!</v>
      </c>
      <c r="Q142" s="1478" t="e">
        <f>$F143/#REF!</f>
        <v>#REF!</v>
      </c>
      <c r="R142" s="1479" t="e">
        <f>Q142/Q145</f>
        <v>#REF!</v>
      </c>
      <c r="S142" s="1478" t="e">
        <f>$F143/#REF!</f>
        <v>#REF!</v>
      </c>
      <c r="T142" s="1479" t="e">
        <f>S142/S145</f>
        <v>#REF!</v>
      </c>
    </row>
    <row r="143" spans="1:30" s="50" customFormat="1" ht="14.25" thickTop="1" thickBot="1" x14ac:dyDescent="0.25">
      <c r="B143" s="1628" t="s">
        <v>163</v>
      </c>
      <c r="C143" s="1629"/>
      <c r="D143" s="1480">
        <f>+D142+D141</f>
        <v>137873.22849999985</v>
      </c>
      <c r="E143" s="1481">
        <f>+D143/$D$153</f>
        <v>0.47625518546831802</v>
      </c>
      <c r="F143" s="1480">
        <f>+F141+F142</f>
        <v>15757585.297999991</v>
      </c>
      <c r="G143" s="1482">
        <f>IF(F143=0,0,+F143/D143)</f>
        <v>114.29039175651137</v>
      </c>
      <c r="H143" s="1483">
        <f>F143/F153</f>
        <v>0.66842924773992651</v>
      </c>
      <c r="I143" s="1484"/>
      <c r="J143" s="48"/>
      <c r="K143" s="1630" t="s">
        <v>166</v>
      </c>
      <c r="L143" s="1631"/>
      <c r="M143" s="1478" t="e">
        <f>$F$147/#REF!</f>
        <v>#REF!</v>
      </c>
      <c r="N143" s="1479" t="e">
        <f>M143/M145</f>
        <v>#REF!</v>
      </c>
      <c r="O143" s="1478" t="e">
        <f>$F147/#REF!</f>
        <v>#REF!</v>
      </c>
      <c r="P143" s="1479" t="e">
        <f>O143/O145</f>
        <v>#REF!</v>
      </c>
      <c r="Q143" s="1478" t="e">
        <f>$F147/#REF!</f>
        <v>#REF!</v>
      </c>
      <c r="R143" s="1479" t="e">
        <f>Q143/Q145</f>
        <v>#REF!</v>
      </c>
      <c r="S143" s="1478" t="e">
        <f>$F147/#REF!</f>
        <v>#REF!</v>
      </c>
      <c r="T143" s="1479" t="e">
        <f>S143/S145</f>
        <v>#REF!</v>
      </c>
    </row>
    <row r="144" spans="1:30" s="50" customFormat="1" ht="13.5" thickBot="1" x14ac:dyDescent="0.25">
      <c r="B144" s="1485"/>
      <c r="C144" s="1486"/>
      <c r="D144" s="1487"/>
      <c r="E144" s="1488"/>
      <c r="F144" s="1487"/>
      <c r="G144" s="1489"/>
      <c r="H144" s="1490"/>
      <c r="I144" s="1484"/>
      <c r="J144" s="48"/>
      <c r="K144" s="1632" t="s">
        <v>169</v>
      </c>
      <c r="L144" s="1633"/>
      <c r="M144" s="1491">
        <v>0</v>
      </c>
      <c r="N144" s="1492">
        <v>0</v>
      </c>
      <c r="O144" s="1491">
        <v>0</v>
      </c>
      <c r="P144" s="1492">
        <v>0</v>
      </c>
      <c r="Q144" s="1491">
        <v>0</v>
      </c>
      <c r="R144" s="1492">
        <v>0</v>
      </c>
      <c r="S144" s="1491">
        <v>0</v>
      </c>
      <c r="T144" s="1492">
        <v>0</v>
      </c>
    </row>
    <row r="145" spans="2:30" s="50" customFormat="1" ht="13.5" thickBot="1" x14ac:dyDescent="0.25">
      <c r="B145" s="1493"/>
      <c r="C145" s="1494" t="s">
        <v>164</v>
      </c>
      <c r="D145" s="1480">
        <f>+L49</f>
        <v>43665.595499999908</v>
      </c>
      <c r="E145" s="1481">
        <f>+D145/$D$153</f>
        <v>0.15083396907208155</v>
      </c>
      <c r="F145" s="1480">
        <f>+M49</f>
        <v>3504237.7709999941</v>
      </c>
      <c r="G145" s="1482">
        <f>IF(F145=0,0,+F145/D145)</f>
        <v>80.251688563367964</v>
      </c>
      <c r="H145" s="1495"/>
      <c r="I145" s="1471"/>
      <c r="J145" s="48"/>
      <c r="K145" s="1634" t="s">
        <v>49</v>
      </c>
      <c r="L145" s="1635"/>
      <c r="M145" s="1496" t="e">
        <f t="shared" ref="M145:T145" si="30">SUM(M142:M144)</f>
        <v>#REF!</v>
      </c>
      <c r="N145" s="1497" t="e">
        <f t="shared" si="30"/>
        <v>#REF!</v>
      </c>
      <c r="O145" s="1496" t="e">
        <f t="shared" si="30"/>
        <v>#REF!</v>
      </c>
      <c r="P145" s="1497" t="e">
        <f t="shared" si="30"/>
        <v>#REF!</v>
      </c>
      <c r="Q145" s="1496" t="e">
        <f t="shared" si="30"/>
        <v>#REF!</v>
      </c>
      <c r="R145" s="1497" t="e">
        <f t="shared" si="30"/>
        <v>#REF!</v>
      </c>
      <c r="S145" s="1496" t="e">
        <f t="shared" si="30"/>
        <v>#REF!</v>
      </c>
      <c r="T145" s="1497" t="e">
        <f t="shared" si="30"/>
        <v>#REF!</v>
      </c>
    </row>
    <row r="146" spans="2:30" s="50" customFormat="1" ht="13.5" thickBot="1" x14ac:dyDescent="0.25">
      <c r="B146" s="1472"/>
      <c r="C146" s="1473" t="s">
        <v>165</v>
      </c>
      <c r="D146" s="1474">
        <f>+N49</f>
        <v>30405.941399999985</v>
      </c>
      <c r="E146" s="1475">
        <f>+D146/$D$153</f>
        <v>0.10503117551059463</v>
      </c>
      <c r="F146" s="1474">
        <f>+O49</f>
        <v>2198144.7499999986</v>
      </c>
      <c r="G146" s="1476">
        <f>IF(F146=0,0,+F146/D146)</f>
        <v>72.293264039507747</v>
      </c>
      <c r="H146" s="1477"/>
      <c r="I146" s="1471"/>
      <c r="J146" s="48"/>
      <c r="K146" s="1637"/>
      <c r="L146" s="1638"/>
      <c r="M146" s="1626">
        <v>2025</v>
      </c>
      <c r="N146" s="1636"/>
      <c r="O146" s="1626">
        <v>2030</v>
      </c>
      <c r="P146" s="1627"/>
      <c r="Q146" s="1626">
        <v>2035</v>
      </c>
      <c r="R146" s="1627"/>
      <c r="S146" s="1626">
        <v>2040</v>
      </c>
      <c r="T146" s="1627"/>
    </row>
    <row r="147" spans="2:30" s="50" customFormat="1" ht="14.25" thickTop="1" thickBot="1" x14ac:dyDescent="0.25">
      <c r="B147" s="1628" t="s">
        <v>166</v>
      </c>
      <c r="C147" s="1629"/>
      <c r="D147" s="1480">
        <f>+D146+D145</f>
        <v>74071.53689999989</v>
      </c>
      <c r="E147" s="1481">
        <f>+D147/$D$153</f>
        <v>0.25586514458267617</v>
      </c>
      <c r="F147" s="1480">
        <f>+F146+F145</f>
        <v>5702382.5209999923</v>
      </c>
      <c r="G147" s="1482">
        <f>IF(F147=0,0,+F147/D147)</f>
        <v>76.984800905352898</v>
      </c>
      <c r="H147" s="1483">
        <f>F147/F153</f>
        <v>0.24189234497249509</v>
      </c>
      <c r="I147" s="1484"/>
      <c r="J147" s="48"/>
      <c r="K147" s="1630" t="s">
        <v>163</v>
      </c>
      <c r="L147" s="1631"/>
      <c r="M147" s="1478" t="e">
        <f>$F$143/#REF!</f>
        <v>#REF!</v>
      </c>
      <c r="N147" s="1479" t="e">
        <f>M147/M150</f>
        <v>#REF!</v>
      </c>
      <c r="O147" s="1478" t="e">
        <f>$F$143/#REF!</f>
        <v>#REF!</v>
      </c>
      <c r="P147" s="1479" t="e">
        <f>O147/O150</f>
        <v>#REF!</v>
      </c>
      <c r="Q147" s="1478" t="e">
        <f>$F$143/#REF!</f>
        <v>#REF!</v>
      </c>
      <c r="R147" s="1479" t="e">
        <f>Q147/Q150</f>
        <v>#REF!</v>
      </c>
      <c r="S147" s="1478" t="e">
        <f>$F$143/#REF!</f>
        <v>#REF!</v>
      </c>
      <c r="T147" s="1479" t="e">
        <f>S147/S150</f>
        <v>#REF!</v>
      </c>
      <c r="U147" s="48"/>
      <c r="V147" s="48"/>
      <c r="W147" s="48"/>
      <c r="X147" s="48"/>
      <c r="Y147" s="48"/>
      <c r="Z147" s="48"/>
      <c r="AA147" s="48"/>
      <c r="AB147" s="48"/>
      <c r="AC147" s="48"/>
      <c r="AD147" s="48"/>
    </row>
    <row r="148" spans="2:30" s="50" customFormat="1" ht="13.5" thickBot="1" x14ac:dyDescent="0.25">
      <c r="B148" s="1485"/>
      <c r="C148" s="1486"/>
      <c r="D148" s="1487"/>
      <c r="E148" s="1488"/>
      <c r="F148" s="1487"/>
      <c r="G148" s="1489"/>
      <c r="H148" s="1490"/>
      <c r="I148" s="1484"/>
      <c r="J148" s="48"/>
      <c r="K148" s="1630" t="s">
        <v>166</v>
      </c>
      <c r="L148" s="1631"/>
      <c r="M148" s="1478" t="e">
        <f>$F$147/#REF!</f>
        <v>#REF!</v>
      </c>
      <c r="N148" s="1479" t="e">
        <f>M148/M150</f>
        <v>#REF!</v>
      </c>
      <c r="O148" s="1478" t="e">
        <f>$F$147/#REF!</f>
        <v>#REF!</v>
      </c>
      <c r="P148" s="1479" t="e">
        <f>O148/O150</f>
        <v>#REF!</v>
      </c>
      <c r="Q148" s="1478" t="e">
        <f>$F$147/#REF!</f>
        <v>#REF!</v>
      </c>
      <c r="R148" s="1479" t="e">
        <f>Q148/Q150</f>
        <v>#REF!</v>
      </c>
      <c r="S148" s="1478" t="e">
        <f>$F$147/#REF!</f>
        <v>#REF!</v>
      </c>
      <c r="T148" s="1479" t="e">
        <f>S148/S150</f>
        <v>#REF!</v>
      </c>
      <c r="U148" s="48"/>
      <c r="V148" s="48"/>
      <c r="W148" s="48"/>
      <c r="X148" s="48"/>
      <c r="Y148" s="48"/>
      <c r="Z148" s="48"/>
      <c r="AA148" s="48"/>
      <c r="AB148" s="48"/>
      <c r="AC148" s="48"/>
      <c r="AD148" s="48"/>
    </row>
    <row r="149" spans="2:30" s="50" customFormat="1" ht="13.5" thickBot="1" x14ac:dyDescent="0.25">
      <c r="B149" s="1493"/>
      <c r="C149" s="1494" t="s">
        <v>167</v>
      </c>
      <c r="D149" s="1480">
        <f>+V49</f>
        <v>29850.964499999998</v>
      </c>
      <c r="E149" s="1481">
        <f>+D149/$D$153</f>
        <v>0.10311412004365801</v>
      </c>
      <c r="F149" s="1480">
        <f>+W49</f>
        <v>844213.30735720019</v>
      </c>
      <c r="G149" s="1482">
        <f>IF(F149=0,0,+F149/D149)</f>
        <v>28.280939041591111</v>
      </c>
      <c r="H149" s="1495"/>
      <c r="I149" s="1471"/>
      <c r="J149" s="48"/>
      <c r="K149" s="1632" t="s">
        <v>169</v>
      </c>
      <c r="L149" s="1633"/>
      <c r="M149" s="1491">
        <v>0</v>
      </c>
      <c r="N149" s="1492">
        <v>0</v>
      </c>
      <c r="O149" s="1491">
        <v>0</v>
      </c>
      <c r="P149" s="1492">
        <v>0</v>
      </c>
      <c r="Q149" s="1491">
        <v>0</v>
      </c>
      <c r="R149" s="1492">
        <v>0</v>
      </c>
      <c r="S149" s="1491">
        <v>0</v>
      </c>
      <c r="T149" s="1492">
        <v>0</v>
      </c>
      <c r="U149" s="48"/>
      <c r="V149" s="48"/>
      <c r="W149" s="48"/>
      <c r="X149" s="48"/>
      <c r="Y149" s="48"/>
      <c r="Z149" s="48"/>
      <c r="AA149" s="48"/>
      <c r="AB149" s="48"/>
      <c r="AC149" s="48"/>
      <c r="AD149" s="48"/>
    </row>
    <row r="150" spans="2:30" s="50" customFormat="1" ht="14.25" thickTop="1" thickBot="1" x14ac:dyDescent="0.25">
      <c r="B150" s="1472"/>
      <c r="C150" s="1473" t="s">
        <v>168</v>
      </c>
      <c r="D150" s="1474">
        <f>+X49</f>
        <v>47698.710699999989</v>
      </c>
      <c r="E150" s="1475">
        <f>+D150/$D$153</f>
        <v>0.16476554990534775</v>
      </c>
      <c r="F150" s="1498">
        <f>+Y49</f>
        <v>1269870.0559916999</v>
      </c>
      <c r="G150" s="1476">
        <f>IF(F150=0,0,+F150/D150)</f>
        <v>26.622733347626944</v>
      </c>
      <c r="H150" s="1477"/>
      <c r="I150" s="1471"/>
      <c r="J150" s="48"/>
      <c r="K150" s="1634" t="s">
        <v>49</v>
      </c>
      <c r="L150" s="1635"/>
      <c r="M150" s="1496" t="e">
        <f>SUM(M147:M149)</f>
        <v>#REF!</v>
      </c>
      <c r="N150" s="1497" t="e">
        <f>SUM(N147:N149)</f>
        <v>#REF!</v>
      </c>
      <c r="O150" s="1496" t="e">
        <f>SUM(O147:O149)</f>
        <v>#REF!</v>
      </c>
      <c r="P150" s="1497" t="e">
        <f>O150/O$150</f>
        <v>#REF!</v>
      </c>
      <c r="Q150" s="1496" t="e">
        <f>SUM(Q147:Q149)</f>
        <v>#REF!</v>
      </c>
      <c r="R150" s="1497" t="e">
        <f>Q150/Q$150</f>
        <v>#REF!</v>
      </c>
      <c r="S150" s="1496" t="e">
        <f>SUM(S147:S149)</f>
        <v>#REF!</v>
      </c>
      <c r="T150" s="1497" t="e">
        <f>S150/S$150</f>
        <v>#REF!</v>
      </c>
      <c r="U150" s="48"/>
      <c r="V150" s="48"/>
      <c r="W150" s="48"/>
      <c r="X150" s="48"/>
      <c r="Y150" s="48"/>
      <c r="Z150" s="48"/>
      <c r="AA150" s="48"/>
      <c r="AB150" s="48"/>
      <c r="AC150" s="48"/>
      <c r="AD150" s="48"/>
    </row>
    <row r="151" spans="2:30" s="50" customFormat="1" ht="14.25" thickTop="1" thickBot="1" x14ac:dyDescent="0.25">
      <c r="B151" s="1628" t="s">
        <v>169</v>
      </c>
      <c r="C151" s="1629"/>
      <c r="D151" s="1480">
        <f>+D150+D149</f>
        <v>77549.675199999983</v>
      </c>
      <c r="E151" s="1481">
        <f>+D151/$D$153</f>
        <v>0.26787966994900575</v>
      </c>
      <c r="F151" s="1480">
        <f>+F149+F150</f>
        <v>2114083.3633489003</v>
      </c>
      <c r="G151" s="1482">
        <f>IF(F151=0,0,+F151/D151)</f>
        <v>27.261021505205488</v>
      </c>
      <c r="H151" s="1483">
        <f>F151/F153</f>
        <v>8.967840728757831E-2</v>
      </c>
      <c r="I151" s="1484"/>
      <c r="J151" s="48"/>
      <c r="K151" s="1637"/>
      <c r="L151" s="1638"/>
      <c r="M151" s="1626">
        <v>2045</v>
      </c>
      <c r="N151" s="1636"/>
      <c r="O151" s="1626">
        <v>2050</v>
      </c>
      <c r="P151" s="1636"/>
      <c r="Q151" s="48"/>
      <c r="R151" s="48"/>
      <c r="S151" s="48"/>
      <c r="T151" s="48"/>
      <c r="U151" s="48"/>
      <c r="V151" s="48"/>
      <c r="W151" s="48"/>
      <c r="X151" s="48"/>
      <c r="Y151" s="48"/>
      <c r="Z151" s="48"/>
      <c r="AA151" s="48"/>
      <c r="AB151" s="48"/>
      <c r="AC151" s="48"/>
      <c r="AD151" s="48"/>
    </row>
    <row r="152" spans="2:30" s="50" customFormat="1" ht="13.5" thickBot="1" x14ac:dyDescent="0.25">
      <c r="B152" s="1485"/>
      <c r="C152" s="1486"/>
      <c r="D152" s="1487"/>
      <c r="E152" s="1488"/>
      <c r="F152" s="1487"/>
      <c r="G152" s="1489"/>
      <c r="H152" s="1490"/>
      <c r="I152" s="1484"/>
      <c r="J152" s="48"/>
      <c r="K152" s="1630" t="s">
        <v>163</v>
      </c>
      <c r="L152" s="1631"/>
      <c r="M152" s="1478" t="e">
        <f>$F$143/#REF!</f>
        <v>#REF!</v>
      </c>
      <c r="N152" s="1479" t="e">
        <f>M152/M155</f>
        <v>#REF!</v>
      </c>
      <c r="O152" s="1478" t="e">
        <f>$F$143/#REF!</f>
        <v>#REF!</v>
      </c>
      <c r="P152" s="1479" t="e">
        <f>O152/O155</f>
        <v>#REF!</v>
      </c>
      <c r="Q152" s="48"/>
      <c r="R152" s="48"/>
      <c r="S152" s="48"/>
      <c r="T152" s="48"/>
      <c r="U152" s="48"/>
      <c r="V152" s="48"/>
      <c r="W152" s="48"/>
      <c r="X152" s="48"/>
      <c r="Y152" s="48"/>
      <c r="Z152" s="48"/>
      <c r="AA152" s="48"/>
      <c r="AB152" s="48"/>
      <c r="AC152" s="48"/>
      <c r="AD152" s="48"/>
    </row>
    <row r="153" spans="2:30" s="1503" customFormat="1" ht="13.5" thickBot="1" x14ac:dyDescent="0.25">
      <c r="B153" s="1639" t="s">
        <v>49</v>
      </c>
      <c r="C153" s="1640"/>
      <c r="D153" s="1388">
        <f>D143+D147+D151</f>
        <v>289494.44059999974</v>
      </c>
      <c r="E153" s="1499">
        <f>+D153/$D$153</f>
        <v>1</v>
      </c>
      <c r="F153" s="1388">
        <f>F143+F147+F151</f>
        <v>23574051.182348885</v>
      </c>
      <c r="G153" s="1500">
        <f>IF(F153=0,0,+F153/D153)</f>
        <v>81.431792380847909</v>
      </c>
      <c r="H153" s="1501">
        <f>SUM(H143:H152)</f>
        <v>1</v>
      </c>
      <c r="I153" s="1502"/>
      <c r="J153" s="48"/>
      <c r="K153" s="1630" t="s">
        <v>166</v>
      </c>
      <c r="L153" s="1631"/>
      <c r="M153" s="1478" t="e">
        <f>$F$147/#REF!</f>
        <v>#REF!</v>
      </c>
      <c r="N153" s="1479" t="e">
        <f>M153/M155</f>
        <v>#REF!</v>
      </c>
      <c r="O153" s="1478" t="e">
        <f>$F$147/#REF!</f>
        <v>#REF!</v>
      </c>
      <c r="P153" s="1479" t="e">
        <f>O153/O155</f>
        <v>#REF!</v>
      </c>
      <c r="Q153" s="48"/>
      <c r="R153" s="48"/>
      <c r="S153" s="48"/>
      <c r="T153" s="48"/>
      <c r="U153" s="48"/>
      <c r="V153" s="48"/>
      <c r="W153" s="48"/>
      <c r="X153" s="48"/>
      <c r="Y153" s="48"/>
      <c r="Z153" s="48"/>
      <c r="AA153" s="48"/>
      <c r="AB153" s="48"/>
      <c r="AC153" s="48"/>
      <c r="AD153" s="48"/>
    </row>
    <row r="154" spans="2:30" s="50" customFormat="1" ht="13.5" thickBot="1" x14ac:dyDescent="0.25">
      <c r="G154" s="1404"/>
      <c r="J154" s="48"/>
      <c r="K154" s="1632" t="s">
        <v>169</v>
      </c>
      <c r="L154" s="1633"/>
      <c r="M154" s="1491">
        <v>0</v>
      </c>
      <c r="N154" s="1492">
        <v>0</v>
      </c>
      <c r="O154" s="1491"/>
      <c r="P154" s="1492">
        <v>0</v>
      </c>
      <c r="Q154" s="48"/>
      <c r="R154" s="48"/>
      <c r="S154" s="48"/>
      <c r="T154" s="48"/>
      <c r="U154" s="48"/>
      <c r="V154" s="48"/>
      <c r="W154" s="48"/>
      <c r="X154" s="48"/>
      <c r="Y154" s="48"/>
      <c r="Z154" s="48"/>
      <c r="AA154" s="48"/>
      <c r="AB154" s="48"/>
      <c r="AC154" s="48"/>
      <c r="AD154" s="48"/>
    </row>
    <row r="155" spans="2:30" ht="14.25" thickTop="1" thickBot="1" x14ac:dyDescent="0.25">
      <c r="K155" s="1634" t="s">
        <v>49</v>
      </c>
      <c r="L155" s="1635"/>
      <c r="M155" s="1496" t="e">
        <f>SUM(M152:M154)</f>
        <v>#REF!</v>
      </c>
      <c r="N155" s="1497" t="e">
        <f>M155/M$155</f>
        <v>#REF!</v>
      </c>
      <c r="O155" s="1496" t="e">
        <f>SUM(O152:O154)</f>
        <v>#REF!</v>
      </c>
      <c r="P155" s="149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261">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263" t="s">
        <v>358</v>
      </c>
      <c r="D11" s="264" t="s">
        <v>110</v>
      </c>
      <c r="E11" s="265" t="s">
        <v>111</v>
      </c>
      <c r="F11" s="265" t="s">
        <v>116</v>
      </c>
      <c r="G11" s="13" t="s">
        <v>64</v>
      </c>
    </row>
    <row r="12" spans="1:12" x14ac:dyDescent="0.25">
      <c r="B12" s="18">
        <v>0</v>
      </c>
      <c r="C12" s="263"/>
      <c r="D12" s="266">
        <f t="shared" ref="D12:G31" si="0">IF($B12&lt;D$8,1,1-WEIBULL(($B12/12)-D$8/12,D$9,D$10,1))</f>
        <v>1</v>
      </c>
      <c r="E12" s="267">
        <f t="shared" si="0"/>
        <v>1</v>
      </c>
      <c r="F12" s="267">
        <f t="shared" si="0"/>
        <v>1</v>
      </c>
      <c r="G12" s="21">
        <f t="shared" si="0"/>
        <v>1</v>
      </c>
    </row>
    <row r="13" spans="1:12" x14ac:dyDescent="0.25">
      <c r="B13" s="18">
        <v>1</v>
      </c>
      <c r="C13" s="263"/>
      <c r="D13" s="266">
        <f t="shared" si="0"/>
        <v>1</v>
      </c>
      <c r="E13" s="267">
        <f t="shared" si="0"/>
        <v>1</v>
      </c>
      <c r="F13" s="267">
        <f t="shared" si="0"/>
        <v>0.99511353784223089</v>
      </c>
      <c r="G13" s="21">
        <f t="shared" si="0"/>
        <v>1</v>
      </c>
    </row>
    <row r="14" spans="1:12" x14ac:dyDescent="0.25">
      <c r="B14" s="18">
        <v>2</v>
      </c>
      <c r="C14" s="263"/>
      <c r="D14" s="266">
        <f t="shared" si="0"/>
        <v>1</v>
      </c>
      <c r="E14" s="267">
        <f t="shared" si="0"/>
        <v>1</v>
      </c>
      <c r="F14" s="267">
        <f t="shared" si="0"/>
        <v>0.98308729447888632</v>
      </c>
      <c r="G14" s="21">
        <f t="shared" si="0"/>
        <v>1</v>
      </c>
    </row>
    <row r="15" spans="1:12" x14ac:dyDescent="0.25">
      <c r="B15" s="18">
        <v>3</v>
      </c>
      <c r="C15" s="263"/>
      <c r="D15" s="266">
        <f t="shared" si="0"/>
        <v>1</v>
      </c>
      <c r="E15" s="267">
        <f t="shared" si="0"/>
        <v>1</v>
      </c>
      <c r="F15" s="267">
        <f t="shared" si="0"/>
        <v>0.96522925875930121</v>
      </c>
      <c r="G15" s="21">
        <f t="shared" si="0"/>
        <v>1</v>
      </c>
    </row>
    <row r="16" spans="1:12" x14ac:dyDescent="0.25">
      <c r="B16" s="18">
        <v>4</v>
      </c>
      <c r="C16" s="263"/>
      <c r="D16" s="266">
        <f t="shared" si="0"/>
        <v>1</v>
      </c>
      <c r="E16" s="267">
        <f t="shared" si="0"/>
        <v>1</v>
      </c>
      <c r="F16" s="267">
        <f t="shared" si="0"/>
        <v>0.94233242615650892</v>
      </c>
      <c r="G16" s="21">
        <f t="shared" si="0"/>
        <v>0.99451324807130903</v>
      </c>
    </row>
    <row r="17" spans="2:7" x14ac:dyDescent="0.25">
      <c r="B17" s="18">
        <v>5</v>
      </c>
      <c r="C17" s="263"/>
      <c r="D17" s="266">
        <f t="shared" si="0"/>
        <v>1</v>
      </c>
      <c r="E17" s="267">
        <f t="shared" si="0"/>
        <v>1</v>
      </c>
      <c r="F17" s="267">
        <f t="shared" si="0"/>
        <v>0.91506768709608055</v>
      </c>
      <c r="G17" s="21">
        <f t="shared" si="0"/>
        <v>0.98102377196290125</v>
      </c>
    </row>
    <row r="18" spans="2:7" x14ac:dyDescent="0.25">
      <c r="B18" s="18">
        <v>6</v>
      </c>
      <c r="C18" s="263"/>
      <c r="D18" s="266">
        <f t="shared" si="0"/>
        <v>1</v>
      </c>
      <c r="E18" s="266">
        <f t="shared" si="0"/>
        <v>1</v>
      </c>
      <c r="F18" s="267">
        <f t="shared" si="0"/>
        <v>0.88405689607151994</v>
      </c>
      <c r="G18" s="21">
        <f t="shared" si="0"/>
        <v>0.9610304919278353</v>
      </c>
    </row>
    <row r="19" spans="2:7" x14ac:dyDescent="0.25">
      <c r="B19" s="18">
        <v>7</v>
      </c>
      <c r="C19" s="263"/>
      <c r="D19" s="266">
        <f t="shared" si="0"/>
        <v>1</v>
      </c>
      <c r="E19" s="267">
        <f t="shared" si="0"/>
        <v>0.99672728540702971</v>
      </c>
      <c r="F19" s="267">
        <f t="shared" si="0"/>
        <v>0.849894901833256</v>
      </c>
      <c r="G19" s="21">
        <f t="shared" si="0"/>
        <v>0.93546263434260146</v>
      </c>
    </row>
    <row r="20" spans="2:7" x14ac:dyDescent="0.25">
      <c r="B20" s="18">
        <v>8</v>
      </c>
      <c r="C20" s="263"/>
      <c r="D20" s="266">
        <f t="shared" si="0"/>
        <v>1</v>
      </c>
      <c r="E20" s="267">
        <f t="shared" si="0"/>
        <v>0.98864996001381644</v>
      </c>
      <c r="F20" s="267">
        <f t="shared" si="0"/>
        <v>0.8131554612767673</v>
      </c>
      <c r="G20" s="21">
        <f t="shared" si="0"/>
        <v>0.90511715028610329</v>
      </c>
    </row>
    <row r="21" spans="2:7" x14ac:dyDescent="0.25">
      <c r="B21" s="18">
        <v>9</v>
      </c>
      <c r="C21" s="263"/>
      <c r="D21" s="266">
        <f t="shared" si="0"/>
        <v>1</v>
      </c>
      <c r="E21" s="267">
        <f t="shared" si="0"/>
        <v>0.97659517170432097</v>
      </c>
      <c r="F21" s="267">
        <f t="shared" si="0"/>
        <v>0.77439085187439527</v>
      </c>
      <c r="G21" s="21">
        <f t="shared" si="0"/>
        <v>0.87073765362737432</v>
      </c>
    </row>
    <row r="22" spans="2:7" x14ac:dyDescent="0.25">
      <c r="B22" s="18">
        <v>10</v>
      </c>
      <c r="C22" s="263"/>
      <c r="D22" s="266">
        <f t="shared" si="0"/>
        <v>1</v>
      </c>
      <c r="E22" s="267">
        <f t="shared" si="0"/>
        <v>0.9610304919278353</v>
      </c>
      <c r="F22" s="267">
        <f t="shared" si="0"/>
        <v>0.73412889005897974</v>
      </c>
      <c r="G22" s="21">
        <f t="shared" si="0"/>
        <v>0.83303645025329565</v>
      </c>
    </row>
    <row r="23" spans="2:7" x14ac:dyDescent="0.25">
      <c r="B23" s="18">
        <v>11</v>
      </c>
      <c r="C23" s="263"/>
      <c r="D23" s="266">
        <f t="shared" si="0"/>
        <v>1</v>
      </c>
      <c r="E23" s="267">
        <f t="shared" si="0"/>
        <v>0.94233242615650892</v>
      </c>
      <c r="F23" s="267">
        <f t="shared" si="0"/>
        <v>0.6928690310460901</v>
      </c>
      <c r="G23" s="21">
        <f t="shared" si="0"/>
        <v>0.79269883747074243</v>
      </c>
    </row>
    <row r="24" spans="2:7" x14ac:dyDescent="0.25">
      <c r="B24" s="18">
        <v>12</v>
      </c>
      <c r="C24" s="268">
        <f>C3</f>
        <v>1</v>
      </c>
      <c r="D24" s="266">
        <f t="shared" si="0"/>
        <v>1</v>
      </c>
      <c r="E24" s="267">
        <f t="shared" si="0"/>
        <v>0.92083975837910714</v>
      </c>
      <c r="F24" s="267">
        <f t="shared" si="0"/>
        <v>0.65107840109915838</v>
      </c>
      <c r="G24" s="21">
        <f t="shared" si="0"/>
        <v>0.7503807093706214</v>
      </c>
    </row>
    <row r="25" spans="2:7" x14ac:dyDescent="0.25">
      <c r="B25" s="18">
        <v>13</v>
      </c>
      <c r="C25" s="263"/>
      <c r="D25" s="266">
        <f t="shared" si="0"/>
        <v>0.99964568058937042</v>
      </c>
      <c r="E25" s="267">
        <f t="shared" si="0"/>
        <v>0.89687217424956167</v>
      </c>
      <c r="F25" s="267">
        <f t="shared" si="0"/>
        <v>0.60918822454710841</v>
      </c>
      <c r="G25" s="21">
        <f t="shared" si="0"/>
        <v>0.70670365308621608</v>
      </c>
    </row>
    <row r="26" spans="2:7" x14ac:dyDescent="0.25">
      <c r="B26" s="18">
        <v>14</v>
      </c>
      <c r="C26" s="263"/>
      <c r="D26" s="266">
        <f t="shared" si="0"/>
        <v>0.99799731961111438</v>
      </c>
      <c r="E26" s="267">
        <f t="shared" si="0"/>
        <v>0.87073765362737421</v>
      </c>
      <c r="F26" s="267">
        <f t="shared" si="0"/>
        <v>0.56759090033085191</v>
      </c>
      <c r="G26" s="21">
        <f t="shared" si="0"/>
        <v>0.66224943157372418</v>
      </c>
    </row>
    <row r="27" spans="2:7" x14ac:dyDescent="0.25">
      <c r="B27" s="18">
        <v>15</v>
      </c>
      <c r="C27" s="263"/>
      <c r="D27" s="266">
        <f t="shared" si="0"/>
        <v>0.99449095900190587</v>
      </c>
      <c r="E27" s="267">
        <f t="shared" si="0"/>
        <v>0.84273521299425513</v>
      </c>
      <c r="F27" s="267">
        <f t="shared" si="0"/>
        <v>0.52663785977915145</v>
      </c>
      <c r="G27" s="21">
        <f t="shared" si="0"/>
        <v>0.61755480964169096</v>
      </c>
    </row>
    <row r="28" spans="2:7" x14ac:dyDescent="0.25">
      <c r="B28" s="18">
        <v>16</v>
      </c>
      <c r="C28" s="263"/>
      <c r="D28" s="266">
        <f t="shared" si="0"/>
        <v>0.9887238277478988</v>
      </c>
      <c r="E28" s="267">
        <f t="shared" si="0"/>
        <v>0.8131554612767673</v>
      </c>
      <c r="F28" s="267">
        <f t="shared" si="0"/>
        <v>0.48663825796023608</v>
      </c>
      <c r="G28" s="21">
        <f t="shared" si="0"/>
        <v>0.57310722900849687</v>
      </c>
    </row>
    <row r="29" spans="2:7" x14ac:dyDescent="0.25">
      <c r="B29" s="18">
        <v>17</v>
      </c>
      <c r="C29" s="263"/>
      <c r="D29" s="266">
        <f t="shared" si="0"/>
        <v>0.9803843728316719</v>
      </c>
      <c r="E29" s="267">
        <f t="shared" si="0"/>
        <v>0.78228006940691508</v>
      </c>
      <c r="F29" s="267">
        <f t="shared" si="0"/>
        <v>0.44785849671753875</v>
      </c>
      <c r="G29" s="21">
        <f t="shared" si="0"/>
        <v>0.52934159132599801</v>
      </c>
    </row>
    <row r="30" spans="2:7" x14ac:dyDescent="0.25">
      <c r="B30" s="18">
        <v>18</v>
      </c>
      <c r="C30" s="263"/>
      <c r="D30" s="266">
        <f t="shared" si="0"/>
        <v>0.96923323447634413</v>
      </c>
      <c r="E30" s="266">
        <f t="shared" si="0"/>
        <v>0.7503807093706214</v>
      </c>
      <c r="F30" s="267">
        <f t="shared" si="0"/>
        <v>0.41052253926958016</v>
      </c>
      <c r="G30" s="21">
        <f t="shared" si="0"/>
        <v>0.48663825796023596</v>
      </c>
    </row>
    <row r="31" spans="2:7" x14ac:dyDescent="0.25">
      <c r="B31" s="18">
        <v>19</v>
      </c>
      <c r="C31" s="263"/>
      <c r="D31" s="266">
        <f t="shared" si="0"/>
        <v>0.95509663904843412</v>
      </c>
      <c r="E31" s="267">
        <f t="shared" si="0"/>
        <v>0.71771776988961988</v>
      </c>
      <c r="F31" s="267">
        <f t="shared" si="0"/>
        <v>0.374812949261631</v>
      </c>
      <c r="G31" s="21">
        <f t="shared" si="0"/>
        <v>0.44532227679677683</v>
      </c>
    </row>
    <row r="32" spans="2:7" x14ac:dyDescent="0.25">
      <c r="B32" s="18">
        <v>20</v>
      </c>
      <c r="C32" s="263"/>
      <c r="D32" s="266">
        <f t="shared" ref="D32:G51" si="1">IF($B32&lt;D$8,1,1-WEIBULL(($B32/12)-D$8/12,D$9,D$10,1))</f>
        <v>0.93786428128134647</v>
      </c>
      <c r="E32" s="267">
        <f t="shared" si="1"/>
        <v>0.68453902988131765</v>
      </c>
      <c r="F32" s="267">
        <f t="shared" si="1"/>
        <v>0.34087256868851834</v>
      </c>
      <c r="G32" s="21">
        <f t="shared" si="1"/>
        <v>0.4056637788810421</v>
      </c>
    </row>
    <row r="33" spans="2:7" x14ac:dyDescent="0.25">
      <c r="B33" s="18">
        <v>21</v>
      </c>
      <c r="C33" s="263"/>
      <c r="D33" s="266">
        <f t="shared" si="1"/>
        <v>0.9174888297657835</v>
      </c>
      <c r="E33" s="267">
        <f t="shared" si="1"/>
        <v>0.65107840109915838</v>
      </c>
      <c r="F33" s="267">
        <f t="shared" si="1"/>
        <v>0.30880673745940412</v>
      </c>
      <c r="G33" s="21">
        <f t="shared" si="1"/>
        <v>0.36787944117144233</v>
      </c>
    </row>
    <row r="34" spans="2:7" x14ac:dyDescent="0.25">
      <c r="B34" s="18">
        <v>22</v>
      </c>
      <c r="C34" s="263"/>
      <c r="D34" s="266">
        <f t="shared" si="1"/>
        <v>0.89398570815371281</v>
      </c>
      <c r="E34" s="267">
        <f t="shared" si="1"/>
        <v>0.61755480964169096</v>
      </c>
      <c r="F34" s="267">
        <f t="shared" si="1"/>
        <v>0.27868595134134</v>
      </c>
      <c r="G34" s="21">
        <f t="shared" si="1"/>
        <v>0.33213488060513152</v>
      </c>
    </row>
    <row r="35" spans="2:7" x14ac:dyDescent="0.25">
      <c r="B35" s="18">
        <v>23</v>
      </c>
      <c r="C35" s="263"/>
      <c r="D35" s="266">
        <f t="shared" si="1"/>
        <v>0.86743240787387288</v>
      </c>
      <c r="E35" s="267">
        <f t="shared" si="1"/>
        <v>0.58417125928962133</v>
      </c>
      <c r="F35" s="267">
        <f t="shared" si="1"/>
        <v>0.25054885364370327</v>
      </c>
      <c r="G35" s="21">
        <f t="shared" si="1"/>
        <v>0.29854782574943706</v>
      </c>
    </row>
    <row r="36" spans="2:7" x14ac:dyDescent="0.25">
      <c r="B36" s="18">
        <v>24</v>
      </c>
      <c r="C36" s="268">
        <f>C4</f>
        <v>0.83599999999999997</v>
      </c>
      <c r="D36" s="266">
        <f t="shared" si="1"/>
        <v>0.83796688557875576</v>
      </c>
      <c r="E36" s="267">
        <f t="shared" si="1"/>
        <v>0.55111410145330775</v>
      </c>
      <c r="F36" s="267">
        <f t="shared" si="1"/>
        <v>0.22440545846436388</v>
      </c>
      <c r="G36" s="21">
        <f t="shared" si="1"/>
        <v>0.26719190325625874</v>
      </c>
    </row>
    <row r="37" spans="2:7" x14ac:dyDescent="0.25">
      <c r="B37" s="18">
        <v>25</v>
      </c>
      <c r="C37" s="263"/>
      <c r="D37" s="266">
        <f t="shared" si="1"/>
        <v>0.80578477749724886</v>
      </c>
      <c r="E37" s="267">
        <f t="shared" si="1"/>
        <v>0.51855252354036319</v>
      </c>
      <c r="F37" s="267">
        <f t="shared" si="1"/>
        <v>0.20024050885898936</v>
      </c>
      <c r="G37" s="21">
        <f t="shared" si="1"/>
        <v>0.23810087536176749</v>
      </c>
    </row>
    <row r="38" spans="2:7" x14ac:dyDescent="0.25">
      <c r="B38" s="18">
        <v>26</v>
      </c>
      <c r="C38" s="263"/>
      <c r="D38" s="266">
        <f t="shared" si="1"/>
        <v>0.77113529134046965</v>
      </c>
      <c r="E38" s="267">
        <f t="shared" si="1"/>
        <v>0.48663825796023608</v>
      </c>
      <c r="F38" s="267">
        <f t="shared" si="1"/>
        <v>0.17801688121859338</v>
      </c>
      <c r="G38" s="21">
        <f t="shared" si="1"/>
        <v>0.21127317023397207</v>
      </c>
    </row>
    <row r="39" spans="2:7" x14ac:dyDescent="0.25">
      <c r="B39" s="18">
        <v>27</v>
      </c>
      <c r="C39" s="263"/>
      <c r="D39" s="266">
        <f t="shared" si="1"/>
        <v>0.73431574119168719</v>
      </c>
      <c r="E39" s="267">
        <f t="shared" si="1"/>
        <v>0.45550550673418788</v>
      </c>
      <c r="F39" s="267">
        <f t="shared" si="1"/>
        <v>0.15767895679748034</v>
      </c>
      <c r="G39" s="21">
        <f t="shared" si="1"/>
        <v>0.18667655766055047</v>
      </c>
    </row>
    <row r="40" spans="2:7" x14ac:dyDescent="0.25">
      <c r="B40" s="18">
        <v>28</v>
      </c>
      <c r="C40" s="263"/>
      <c r="D40" s="266">
        <f t="shared" si="1"/>
        <v>0.69566478229732487</v>
      </c>
      <c r="E40" s="267">
        <f t="shared" si="1"/>
        <v>0.42527107116174789</v>
      </c>
      <c r="F40" s="267">
        <f t="shared" si="1"/>
        <v>0.13915589212694768</v>
      </c>
      <c r="G40" s="21">
        <f t="shared" si="1"/>
        <v>0.1642528370875127</v>
      </c>
    </row>
    <row r="41" spans="2:7" x14ac:dyDescent="0.25">
      <c r="B41" s="18">
        <v>29</v>
      </c>
      <c r="C41" s="263"/>
      <c r="D41" s="266">
        <f t="shared" si="1"/>
        <v>0.65555448400571326</v>
      </c>
      <c r="E41" s="267">
        <f t="shared" si="1"/>
        <v>0.39603467182812513</v>
      </c>
      <c r="F41" s="267">
        <f t="shared" si="1"/>
        <v>0.12236473144151083</v>
      </c>
      <c r="G41" s="21">
        <f t="shared" si="1"/>
        <v>0.143922422166186</v>
      </c>
    </row>
    <row r="42" spans="2:7" x14ac:dyDescent="0.25">
      <c r="B42" s="18">
        <v>30</v>
      </c>
      <c r="C42" s="263"/>
      <c r="D42" s="266">
        <f t="shared" si="1"/>
        <v>0.61438145002028</v>
      </c>
      <c r="E42" s="266">
        <f t="shared" si="1"/>
        <v>0.36787944117144233</v>
      </c>
      <c r="F42" s="267">
        <f t="shared" si="1"/>
        <v>0.10721331576175563</v>
      </c>
      <c r="G42" s="21">
        <f t="shared" si="1"/>
        <v>0.12558872465487203</v>
      </c>
    </row>
    <row r="43" spans="2:7" x14ac:dyDescent="0.25">
      <c r="B43" s="18">
        <v>31</v>
      </c>
      <c r="C43" s="263"/>
      <c r="D43" s="266">
        <f t="shared" si="1"/>
        <v>0.57255725386160194</v>
      </c>
      <c r="E43" s="267">
        <f t="shared" si="1"/>
        <v>0.34087256868851834</v>
      </c>
      <c r="F43" s="267">
        <f t="shared" si="1"/>
        <v>9.3602954519502735E-2</v>
      </c>
      <c r="G43" s="21">
        <f t="shared" si="1"/>
        <v>0.10914225979259551</v>
      </c>
    </row>
    <row r="44" spans="2:7" x14ac:dyDescent="0.25">
      <c r="B44" s="18">
        <v>32</v>
      </c>
      <c r="C44" s="263"/>
      <c r="D44" s="266">
        <f t="shared" si="1"/>
        <v>0.53049850169371948</v>
      </c>
      <c r="E44" s="267">
        <f t="shared" si="1"/>
        <v>0.31506607751012794</v>
      </c>
      <c r="F44" s="267">
        <f t="shared" si="1"/>
        <v>8.1430836248249538E-2</v>
      </c>
      <c r="G44" s="21">
        <f t="shared" si="1"/>
        <v>9.4464414295467924E-2</v>
      </c>
    </row>
    <row r="45" spans="2:7" x14ac:dyDescent="0.25">
      <c r="B45" s="18">
        <v>33</v>
      </c>
      <c r="C45" s="263"/>
      <c r="D45" s="266">
        <f t="shared" si="1"/>
        <v>0.48861686235154222</v>
      </c>
      <c r="E45" s="267">
        <f t="shared" si="1"/>
        <v>0.29049771041246508</v>
      </c>
      <c r="F45" s="267">
        <f t="shared" si="1"/>
        <v>7.0592164639350474E-2</v>
      </c>
      <c r="G45" s="21">
        <f t="shared" si="1"/>
        <v>8.1430836248249538E-2</v>
      </c>
    </row>
    <row r="46" spans="2:7" x14ac:dyDescent="0.25">
      <c r="B46" s="18">
        <v>34</v>
      </c>
      <c r="C46" s="263"/>
      <c r="D46" s="266">
        <f t="shared" si="1"/>
        <v>0.44730941399885382</v>
      </c>
      <c r="E46" s="267">
        <f t="shared" si="1"/>
        <v>0.26719190325625874</v>
      </c>
      <c r="F46" s="267">
        <f t="shared" si="1"/>
        <v>6.0982014997255418E-2</v>
      </c>
      <c r="G46" s="21">
        <f t="shared" si="1"/>
        <v>6.9914422850488989E-2</v>
      </c>
    </row>
    <row r="47" spans="2:7" x14ac:dyDescent="0.25">
      <c r="B47" s="18">
        <v>35</v>
      </c>
      <c r="C47" s="263"/>
      <c r="D47" s="266">
        <f t="shared" si="1"/>
        <v>0.406949647740664</v>
      </c>
      <c r="E47" s="267">
        <f t="shared" si="1"/>
        <v>0.24516082427257391</v>
      </c>
      <c r="F47" s="267">
        <f t="shared" si="1"/>
        <v>5.2496913696447711E-2</v>
      </c>
      <c r="G47" s="21">
        <f t="shared" si="1"/>
        <v>5.9787896848882749E-2</v>
      </c>
    </row>
    <row r="48" spans="2:7" x14ac:dyDescent="0.25">
      <c r="B48" s="18">
        <v>36</v>
      </c>
      <c r="C48" s="268">
        <f>C5</f>
        <v>0.219</v>
      </c>
      <c r="D48" s="266">
        <f t="shared" si="1"/>
        <v>0.36787944117144233</v>
      </c>
      <c r="E48" s="267">
        <f t="shared" si="1"/>
        <v>0.22440545846436388</v>
      </c>
      <c r="F48" s="267">
        <f t="shared" si="1"/>
        <v>4.5036149589259722E-2</v>
      </c>
      <c r="G48" s="21">
        <f t="shared" si="1"/>
        <v>5.0925975301708948E-2</v>
      </c>
    </row>
    <row r="49" spans="2:7" x14ac:dyDescent="0.25">
      <c r="B49" s="18">
        <v>37</v>
      </c>
      <c r="C49" s="263"/>
      <c r="D49" s="266">
        <f t="shared" si="1"/>
        <v>0.33040227085122265</v>
      </c>
      <c r="E49" s="267">
        <f t="shared" si="1"/>
        <v>0.20491671758931851</v>
      </c>
      <c r="F49" s="267">
        <f t="shared" si="1"/>
        <v>3.850283143025035E-2</v>
      </c>
      <c r="G49" s="21">
        <f t="shared" si="1"/>
        <v>4.3207144956392884E-2</v>
      </c>
    </row>
    <row r="50" spans="2:7" x14ac:dyDescent="0.25">
      <c r="B50" s="18">
        <v>38</v>
      </c>
      <c r="C50" s="263"/>
      <c r="D50" s="266">
        <f t="shared" si="1"/>
        <v>0.29477787472512929</v>
      </c>
      <c r="E50" s="267">
        <f t="shared" si="1"/>
        <v>0.18667655766055047</v>
      </c>
      <c r="F50" s="267">
        <f t="shared" si="1"/>
        <v>3.2804709305761293E-2</v>
      </c>
      <c r="G50" s="21">
        <f t="shared" si="1"/>
        <v>3.6515066962736542E-2</v>
      </c>
    </row>
    <row r="51" spans="2:7" x14ac:dyDescent="0.25">
      <c r="B51" s="18">
        <v>39</v>
      </c>
      <c r="C51" s="263"/>
      <c r="D51" s="266">
        <f t="shared" si="1"/>
        <v>0.26121850711209382</v>
      </c>
      <c r="E51" s="267">
        <f t="shared" si="1"/>
        <v>0.16965908757950587</v>
      </c>
      <c r="F51" s="267">
        <f t="shared" si="1"/>
        <v>2.7854780858086459E-2</v>
      </c>
      <c r="G51" s="21">
        <f t="shared" si="1"/>
        <v>3.0739639965612686E-2</v>
      </c>
    </row>
    <row r="52" spans="2:7" x14ac:dyDescent="0.25">
      <c r="B52" s="18">
        <v>40</v>
      </c>
      <c r="C52" s="263"/>
      <c r="D52" s="266">
        <f t="shared" ref="D52:G71" si="2">IF($B52&lt;D$8,1,1-WEIBULL(($B52/12)-D$8/12,D$9,D$10,1))</f>
        <v>0.22988685432773637</v>
      </c>
      <c r="E52" s="267">
        <f t="shared" si="2"/>
        <v>0.1538316543371343</v>
      </c>
      <c r="F52" s="267">
        <f t="shared" si="2"/>
        <v>2.3571704870276933E-2</v>
      </c>
      <c r="G52" s="21">
        <f t="shared" si="2"/>
        <v>2.5777754964941835E-2</v>
      </c>
    </row>
    <row r="53" spans="2:7" x14ac:dyDescent="0.25">
      <c r="B53" s="18">
        <v>41</v>
      </c>
      <c r="C53" s="263"/>
      <c r="D53" s="266">
        <f t="shared" si="2"/>
        <v>0.20089560287817543</v>
      </c>
      <c r="E53" s="267">
        <f t="shared" si="2"/>
        <v>0.13915589212694768</v>
      </c>
      <c r="F53" s="267">
        <f t="shared" si="2"/>
        <v>1.9880045646170408E-2</v>
      </c>
      <c r="G53" s="21">
        <f t="shared" si="2"/>
        <v>2.1533777891509898E-2</v>
      </c>
    </row>
    <row r="54" spans="2:7" x14ac:dyDescent="0.25">
      <c r="B54" s="18">
        <v>42</v>
      </c>
      <c r="C54" s="263"/>
      <c r="D54" s="266">
        <f t="shared" si="2"/>
        <v>0.17430857908883035</v>
      </c>
      <c r="E54" s="267">
        <f t="shared" si="2"/>
        <v>0.12558872465487203</v>
      </c>
      <c r="F54" s="267">
        <f t="shared" si="2"/>
        <v>1.6710371707806315E-2</v>
      </c>
      <c r="G54" s="21">
        <f t="shared" si="2"/>
        <v>1.7919796852235992E-2</v>
      </c>
    </row>
    <row r="55" spans="2:7" x14ac:dyDescent="0.25">
      <c r="B55" s="18">
        <v>43</v>
      </c>
      <c r="C55" s="263"/>
      <c r="D55" s="266">
        <f t="shared" si="2"/>
        <v>0.15014331331304309</v>
      </c>
      <c r="E55" s="267">
        <f t="shared" si="2"/>
        <v>0.11308331185949427</v>
      </c>
      <c r="F55" s="267">
        <f t="shared" si="2"/>
        <v>1.3999231770300269E-2</v>
      </c>
      <c r="G55" s="21">
        <f t="shared" si="2"/>
        <v>1.4855670693437961E-2</v>
      </c>
    </row>
    <row r="56" spans="2:7" x14ac:dyDescent="0.25">
      <c r="B56" s="18">
        <v>44</v>
      </c>
      <c r="C56" s="263"/>
      <c r="D56" s="266">
        <f t="shared" si="2"/>
        <v>0.12837482715790938</v>
      </c>
      <c r="E56" s="267">
        <f t="shared" si="2"/>
        <v>0.10158993413238182</v>
      </c>
      <c r="F56" s="267">
        <f t="shared" si="2"/>
        <v>1.1689029872536283E-2</v>
      </c>
      <c r="G56" s="21">
        <f t="shared" si="2"/>
        <v>1.2268914165479594E-2</v>
      </c>
    </row>
    <row r="57" spans="2:7" x14ac:dyDescent="0.25">
      <c r="B57" s="18">
        <v>45</v>
      </c>
      <c r="C57" s="263"/>
      <c r="D57" s="266">
        <f t="shared" si="2"/>
        <v>0.10894040123194071</v>
      </c>
      <c r="E57" s="267">
        <f t="shared" si="2"/>
        <v>9.1056808917926668E-2</v>
      </c>
      <c r="F57" s="267">
        <f t="shared" si="2"/>
        <v>9.7278200649436597E-3</v>
      </c>
      <c r="G57" s="21">
        <f t="shared" si="2"/>
        <v>1.009445279022525E-2</v>
      </c>
    </row>
    <row r="58" spans="2:7" x14ac:dyDescent="0.25">
      <c r="B58" s="18">
        <v>46</v>
      </c>
      <c r="C58" s="263"/>
      <c r="D58" s="266">
        <f t="shared" si="2"/>
        <v>9.1745055453900104E-2</v>
      </c>
      <c r="E58" s="267">
        <f t="shared" si="2"/>
        <v>8.1430836248249538E-2</v>
      </c>
      <c r="F58" s="267">
        <f t="shared" si="2"/>
        <v>8.0690392981475068E-3</v>
      </c>
      <c r="G58" s="21">
        <f t="shared" si="2"/>
        <v>8.2742777618429741E-3</v>
      </c>
    </row>
    <row r="59" spans="2:7" x14ac:dyDescent="0.25">
      <c r="B59" s="18">
        <v>47</v>
      </c>
      <c r="C59" s="263"/>
      <c r="D59" s="266">
        <f t="shared" si="2"/>
        <v>7.6667464508156202E-2</v>
      </c>
      <c r="E59" s="267">
        <f t="shared" si="2"/>
        <v>7.2658271309812839E-2</v>
      </c>
      <c r="F59" s="267">
        <f t="shared" si="2"/>
        <v>6.6711952216890191E-3</v>
      </c>
      <c r="G59" s="21">
        <f t="shared" si="2"/>
        <v>6.7570280577756714E-3</v>
      </c>
    </row>
    <row r="60" spans="2:7" x14ac:dyDescent="0.25">
      <c r="B60" s="18">
        <v>48</v>
      </c>
      <c r="C60" s="268">
        <f>C6</f>
        <v>6.4000000000000001E-2</v>
      </c>
      <c r="D60" s="266">
        <f t="shared" si="2"/>
        <v>6.3566037004625375E-2</v>
      </c>
      <c r="E60" s="267">
        <f t="shared" si="2"/>
        <v>6.4685323529124261E-2</v>
      </c>
      <c r="F60" s="267">
        <f t="shared" si="2"/>
        <v>5.4975235803325084E-3</v>
      </c>
      <c r="G60" s="21">
        <f t="shared" si="2"/>
        <v>5.4975235803325084E-3</v>
      </c>
    </row>
    <row r="61" spans="2:7" x14ac:dyDescent="0.25">
      <c r="B61" s="18">
        <v>49</v>
      </c>
      <c r="D61" s="262">
        <f t="shared" si="2"/>
        <v>5.22849067021115E-2</v>
      </c>
      <c r="E61" s="21">
        <f t="shared" si="2"/>
        <v>5.7458682895245139E-2</v>
      </c>
      <c r="F61" s="21">
        <f t="shared" si="2"/>
        <v>4.5156278627150881E-3</v>
      </c>
      <c r="G61" s="21">
        <f t="shared" si="2"/>
        <v>4.4562697424368469E-3</v>
      </c>
    </row>
    <row r="62" spans="2:7" x14ac:dyDescent="0.25">
      <c r="B62" s="18">
        <v>50</v>
      </c>
      <c r="D62" s="262">
        <f t="shared" si="2"/>
        <v>4.2659615362509729E-2</v>
      </c>
      <c r="E62" s="21">
        <f t="shared" si="2"/>
        <v>5.0925975301708948E-2</v>
      </c>
      <c r="F62" s="21">
        <f t="shared" si="2"/>
        <v>3.6971118752440191E-3</v>
      </c>
      <c r="G62" s="21">
        <f t="shared" si="2"/>
        <v>3.5989505771300001E-3</v>
      </c>
    </row>
    <row r="63" spans="2:7" x14ac:dyDescent="0.25">
      <c r="B63" s="18">
        <v>51</v>
      </c>
      <c r="D63" s="262">
        <f t="shared" si="2"/>
        <v>3.45223064271728E-2</v>
      </c>
      <c r="E63" s="21">
        <f t="shared" si="2"/>
        <v>4.5036149589259722E-2</v>
      </c>
      <c r="F63" s="21">
        <f t="shared" si="2"/>
        <v>3.0172140316164775E-3</v>
      </c>
      <c r="G63" s="21">
        <f t="shared" si="2"/>
        <v>2.8959242852554246E-3</v>
      </c>
    </row>
    <row r="64" spans="2:7" x14ac:dyDescent="0.25">
      <c r="B64" s="18">
        <v>52</v>
      </c>
      <c r="D64" s="262">
        <f t="shared" si="2"/>
        <v>2.7706293458343301E-2</v>
      </c>
      <c r="E64" s="21">
        <f t="shared" si="2"/>
        <v>3.9739799706733026E-2</v>
      </c>
      <c r="F64" s="21">
        <f t="shared" si="2"/>
        <v>2.4544504009351709E-3</v>
      </c>
      <c r="G64" s="21">
        <f t="shared" si="2"/>
        <v>2.3217322092717874E-3</v>
      </c>
    </row>
    <row r="65" spans="2:7" x14ac:dyDescent="0.25">
      <c r="B65" s="18">
        <v>53</v>
      </c>
      <c r="D65" s="262">
        <f t="shared" si="2"/>
        <v>2.2049913865499482E-2</v>
      </c>
      <c r="E65" s="21">
        <f t="shared" si="2"/>
        <v>3.4989425986837186E-2</v>
      </c>
      <c r="F65" s="21">
        <f t="shared" si="2"/>
        <v>1.9902719695228388E-3</v>
      </c>
      <c r="G65" s="21">
        <f t="shared" si="2"/>
        <v>1.8546295800468959E-3</v>
      </c>
    </row>
    <row r="66" spans="2:7" x14ac:dyDescent="0.25">
      <c r="B66" s="18">
        <v>54</v>
      </c>
      <c r="D66" s="262">
        <f t="shared" si="2"/>
        <v>1.7399623775943063E-2</v>
      </c>
      <c r="E66" s="21">
        <f t="shared" si="2"/>
        <v>3.0739639965612686E-2</v>
      </c>
      <c r="F66" s="21">
        <f t="shared" si="2"/>
        <v>1.6087401576061477E-3</v>
      </c>
      <c r="G66" s="21">
        <f t="shared" si="2"/>
        <v>1.4761440542468973E-3</v>
      </c>
    </row>
    <row r="67" spans="2:7" x14ac:dyDescent="0.25">
      <c r="B67" s="18">
        <v>55</v>
      </c>
      <c r="D67" s="262">
        <f t="shared" si="2"/>
        <v>1.3612331396869903E-2</v>
      </c>
      <c r="E67" s="21">
        <f t="shared" si="2"/>
        <v>2.6947317470043308E-2</v>
      </c>
      <c r="F67" s="21">
        <f t="shared" si="2"/>
        <v>1.2962233980006177E-3</v>
      </c>
      <c r="G67" s="21">
        <f t="shared" si="2"/>
        <v>1.170666052133007E-3</v>
      </c>
    </row>
    <row r="68" spans="2:7" x14ac:dyDescent="0.25">
      <c r="B68" s="18">
        <v>56</v>
      </c>
      <c r="D68" s="262">
        <f t="shared" si="2"/>
        <v>1.055700183503927E-2</v>
      </c>
      <c r="E68" s="21">
        <f t="shared" si="2"/>
        <v>2.3571704870276933E-2</v>
      </c>
      <c r="F68" s="21">
        <f t="shared" si="2"/>
        <v>1.0411165287640411E-3</v>
      </c>
      <c r="G68" s="21">
        <f t="shared" si="2"/>
        <v>9.2507321512669272E-4</v>
      </c>
    </row>
    <row r="69" spans="2:7" x14ac:dyDescent="0.25">
      <c r="B69" s="18">
        <v>57</v>
      </c>
      <c r="D69" s="262">
        <f t="shared" si="2"/>
        <v>8.1155947493921632E-3</v>
      </c>
      <c r="E69" s="21">
        <f t="shared" si="2"/>
        <v>2.0574483454742554E-2</v>
      </c>
      <c r="F69" s="21">
        <f t="shared" si="2"/>
        <v>8.3358386900855841E-4</v>
      </c>
      <c r="G69" s="21">
        <f t="shared" si="2"/>
        <v>7.2838991483914484E-4</v>
      </c>
    </row>
    <row r="70" spans="2:7" x14ac:dyDescent="0.25">
      <c r="B70" s="18">
        <v>58</v>
      </c>
      <c r="D70" s="262">
        <f t="shared" si="2"/>
        <v>6.1834167604025714E-3</v>
      </c>
      <c r="E70" s="21">
        <f t="shared" si="2"/>
        <v>1.7919796852235992E-2</v>
      </c>
      <c r="F70" s="21">
        <f t="shared" si="2"/>
        <v>6.653261260685106E-4</v>
      </c>
      <c r="G70" s="21">
        <f t="shared" si="2"/>
        <v>5.7148163822540177E-4</v>
      </c>
    </row>
    <row r="71" spans="2:7" x14ac:dyDescent="0.25">
      <c r="B71" s="18">
        <v>59</v>
      </c>
      <c r="D71" s="262">
        <f t="shared" si="2"/>
        <v>4.6689832182131852E-3</v>
      </c>
      <c r="E71" s="21">
        <f t="shared" si="2"/>
        <v>1.5574246308966644E-2</v>
      </c>
      <c r="F71" s="21">
        <f t="shared" si="2"/>
        <v>5.2937070953729126E-4</v>
      </c>
      <c r="G71" s="21">
        <f t="shared" si="2"/>
        <v>4.4678321991908909E-4</v>
      </c>
    </row>
    <row r="72" spans="2:7" x14ac:dyDescent="0.25">
      <c r="B72" s="18">
        <v>60</v>
      </c>
      <c r="D72" s="262">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262">
        <f t="shared" si="3"/>
        <v>2.589989187540831E-3</v>
      </c>
      <c r="E73" s="21">
        <f t="shared" si="3"/>
        <v>1.1689029872536283E-2</v>
      </c>
      <c r="F73" s="21">
        <f t="shared" si="3"/>
        <v>3.3200850167025564E-4</v>
      </c>
      <c r="G73" s="21">
        <f t="shared" si="3"/>
        <v>2.7019464849964425E-4</v>
      </c>
    </row>
    <row r="74" spans="2:7" x14ac:dyDescent="0.25">
      <c r="B74" s="18">
        <v>62</v>
      </c>
      <c r="D74" s="262">
        <f t="shared" si="3"/>
        <v>1.9023765504646573E-3</v>
      </c>
      <c r="E74" s="21">
        <f t="shared" si="3"/>
        <v>1.009445279022525E-2</v>
      </c>
      <c r="F74" s="21">
        <f t="shared" si="3"/>
        <v>2.6171112129524943E-4</v>
      </c>
      <c r="G74" s="21">
        <f t="shared" si="3"/>
        <v>2.0901276877349773E-4</v>
      </c>
    </row>
    <row r="75" spans="2:7" x14ac:dyDescent="0.25">
      <c r="B75" s="18">
        <v>63</v>
      </c>
      <c r="D75" s="262">
        <f t="shared" si="3"/>
        <v>1.3842482900661146E-3</v>
      </c>
      <c r="E75" s="21">
        <f t="shared" si="3"/>
        <v>8.699025332679633E-3</v>
      </c>
      <c r="F75" s="21">
        <f t="shared" si="3"/>
        <v>2.0566160738733075E-4</v>
      </c>
      <c r="G75" s="21">
        <f t="shared" si="3"/>
        <v>1.6111895453663205E-4</v>
      </c>
    </row>
    <row r="76" spans="2:7" x14ac:dyDescent="0.25">
      <c r="B76" s="18">
        <v>64</v>
      </c>
      <c r="D76" s="262">
        <f t="shared" si="3"/>
        <v>9.9772275358522844E-4</v>
      </c>
      <c r="E76" s="21">
        <f t="shared" si="3"/>
        <v>7.4807501544102983E-3</v>
      </c>
      <c r="F76" s="21">
        <f t="shared" si="3"/>
        <v>1.6111895453663205E-4</v>
      </c>
      <c r="G76" s="21">
        <f t="shared" si="3"/>
        <v>1.2376655487678079E-4</v>
      </c>
    </row>
    <row r="77" spans="2:7" x14ac:dyDescent="0.25">
      <c r="B77" s="18">
        <v>65</v>
      </c>
      <c r="D77" s="262">
        <f t="shared" si="3"/>
        <v>7.122687876760514E-4</v>
      </c>
      <c r="E77" s="21">
        <f t="shared" si="3"/>
        <v>6.4196243623374505E-3</v>
      </c>
      <c r="F77" s="21">
        <f t="shared" si="3"/>
        <v>1.258364949808799E-4</v>
      </c>
      <c r="G77" s="21">
        <f t="shared" si="3"/>
        <v>9.4743151534348868E-5</v>
      </c>
    </row>
    <row r="78" spans="2:7" x14ac:dyDescent="0.25">
      <c r="B78" s="18">
        <v>66</v>
      </c>
      <c r="D78" s="262">
        <f t="shared" si="3"/>
        <v>5.0358904973690777E-4</v>
      </c>
      <c r="E78" s="21">
        <f t="shared" si="3"/>
        <v>5.4975235803325084E-3</v>
      </c>
      <c r="F78" s="21">
        <f t="shared" si="3"/>
        <v>9.7979966796168938E-5</v>
      </c>
      <c r="G78" s="21">
        <f t="shared" si="3"/>
        <v>7.2274503910452204E-5</v>
      </c>
    </row>
    <row r="79" spans="2:7" x14ac:dyDescent="0.25">
      <c r="B79" s="18">
        <v>67</v>
      </c>
      <c r="D79" s="262">
        <f t="shared" si="3"/>
        <v>3.525879905724727E-4</v>
      </c>
      <c r="E79" s="21">
        <f t="shared" si="3"/>
        <v>4.6980825876707932E-3</v>
      </c>
      <c r="F79" s="21">
        <f t="shared" si="3"/>
        <v>7.6057616771540992E-5</v>
      </c>
      <c r="G79" s="21">
        <f t="shared" si="3"/>
        <v>5.4943964787335098E-5</v>
      </c>
    </row>
    <row r="80" spans="2:7" x14ac:dyDescent="0.25">
      <c r="B80" s="18">
        <v>68</v>
      </c>
      <c r="D80" s="262">
        <f t="shared" si="3"/>
        <v>2.4444352404873193E-4</v>
      </c>
      <c r="E80" s="21">
        <f t="shared" si="3"/>
        <v>4.0065746461579455E-3</v>
      </c>
      <c r="F80" s="21">
        <f t="shared" si="3"/>
        <v>5.8860895872037133E-5</v>
      </c>
      <c r="G80" s="21">
        <f t="shared" si="3"/>
        <v>4.1625281087975807E-5</v>
      </c>
    </row>
    <row r="81" spans="2:7" x14ac:dyDescent="0.25">
      <c r="B81" s="18">
        <v>69</v>
      </c>
      <c r="D81" s="262">
        <f t="shared" si="3"/>
        <v>1.677917494864456E-4</v>
      </c>
      <c r="E81" s="21">
        <f t="shared" si="3"/>
        <v>3.4097913183015471E-3</v>
      </c>
      <c r="F81" s="21">
        <f t="shared" si="3"/>
        <v>4.5414408506361248E-5</v>
      </c>
      <c r="G81" s="21">
        <f t="shared" si="3"/>
        <v>3.1426883004725958E-5</v>
      </c>
    </row>
    <row r="82" spans="2:7" x14ac:dyDescent="0.25">
      <c r="B82" s="18">
        <v>70</v>
      </c>
      <c r="D82" s="262">
        <f t="shared" si="3"/>
        <v>1.1402637597712761E-4</v>
      </c>
      <c r="E82" s="21">
        <f t="shared" si="3"/>
        <v>2.8959242852554246E-3</v>
      </c>
      <c r="F82" s="21">
        <f t="shared" si="3"/>
        <v>3.4933889061616874E-5</v>
      </c>
      <c r="G82" s="21">
        <f t="shared" si="3"/>
        <v>2.3645959206675116E-5</v>
      </c>
    </row>
    <row r="83" spans="2:7" x14ac:dyDescent="0.25">
      <c r="B83" s="18">
        <v>71</v>
      </c>
      <c r="D83" s="262">
        <f t="shared" si="3"/>
        <v>7.6708702562489073E-5</v>
      </c>
      <c r="E83" s="21">
        <f t="shared" si="3"/>
        <v>2.4544504009351709E-3</v>
      </c>
      <c r="F83" s="21">
        <f t="shared" si="3"/>
        <v>2.6791095119715891E-5</v>
      </c>
      <c r="G83" s="21">
        <f t="shared" si="3"/>
        <v>1.7730808173022083E-5</v>
      </c>
    </row>
    <row r="84" spans="2:7" x14ac:dyDescent="0.25">
      <c r="B84" s="18">
        <v>72</v>
      </c>
      <c r="D84" s="262">
        <f t="shared" si="3"/>
        <v>5.1079991764568788E-5</v>
      </c>
      <c r="E84" s="21">
        <f t="shared" si="3"/>
        <v>2.0760209694462572E-3</v>
      </c>
      <c r="F84" s="21">
        <f t="shared" si="3"/>
        <v>2.0484622330063651E-5</v>
      </c>
      <c r="G84" s="21">
        <f t="shared" si="3"/>
        <v>1.325014056063889E-5</v>
      </c>
    </row>
    <row r="85" spans="2:7" x14ac:dyDescent="0.25">
      <c r="B85" s="18">
        <v>73</v>
      </c>
      <c r="D85" s="262">
        <f t="shared" si="3"/>
        <v>3.3665607341304415E-5</v>
      </c>
      <c r="E85" s="21">
        <f t="shared" si="3"/>
        <v>1.7523560077112865E-3</v>
      </c>
      <c r="F85" s="21">
        <f t="shared" si="3"/>
        <v>1.5615758009790426E-5</v>
      </c>
      <c r="G85" s="21">
        <f t="shared" si="3"/>
        <v>9.8681811333545255E-6</v>
      </c>
    </row>
    <row r="86" spans="2:7" x14ac:dyDescent="0.25">
      <c r="B86" s="18">
        <v>74</v>
      </c>
      <c r="D86" s="262">
        <f t="shared" si="3"/>
        <v>2.1959095184986843E-5</v>
      </c>
      <c r="E86" s="21">
        <f t="shared" si="3"/>
        <v>1.4761440542468973E-3</v>
      </c>
      <c r="F86" s="21">
        <f t="shared" si="3"/>
        <v>1.1868596933584108E-5</v>
      </c>
      <c r="G86" s="21">
        <f t="shared" si="3"/>
        <v>7.3245787428621867E-6</v>
      </c>
    </row>
    <row r="87" spans="2:7" x14ac:dyDescent="0.25">
      <c r="B87" s="18">
        <v>75</v>
      </c>
      <c r="D87" s="262">
        <f t="shared" si="3"/>
        <v>1.4174181270143471E-5</v>
      </c>
      <c r="E87" s="21">
        <f t="shared" si="3"/>
        <v>1.2409479081468833E-3</v>
      </c>
      <c r="F87" s="21">
        <f t="shared" si="3"/>
        <v>8.9937419665009344E-6</v>
      </c>
      <c r="G87" s="21">
        <f t="shared" si="3"/>
        <v>5.418277854163378E-6</v>
      </c>
    </row>
    <row r="88" spans="2:7" x14ac:dyDescent="0.25">
      <c r="B88" s="18">
        <v>76</v>
      </c>
      <c r="D88" s="262">
        <f t="shared" si="3"/>
        <v>9.0531678970107166E-6</v>
      </c>
      <c r="E88" s="21">
        <f t="shared" si="3"/>
        <v>1.0411165287640411E-3</v>
      </c>
      <c r="F88" s="21">
        <f t="shared" si="3"/>
        <v>6.7950032648367298E-6</v>
      </c>
      <c r="G88" s="21">
        <f t="shared" si="3"/>
        <v>3.9946347010211269E-6</v>
      </c>
    </row>
    <row r="89" spans="2:7" x14ac:dyDescent="0.25">
      <c r="B89" s="18">
        <v>77</v>
      </c>
      <c r="D89" s="262">
        <f t="shared" si="3"/>
        <v>5.7211851592908758E-6</v>
      </c>
      <c r="E89" s="21">
        <f t="shared" si="3"/>
        <v>8.7170319526963524E-4</v>
      </c>
      <c r="F89" s="21">
        <f t="shared" si="3"/>
        <v>5.1185922865792932E-6</v>
      </c>
      <c r="G89" s="21">
        <f t="shared" si="3"/>
        <v>2.9351755189699347E-6</v>
      </c>
    </row>
    <row r="90" spans="2:7" x14ac:dyDescent="0.25">
      <c r="B90" s="18">
        <v>78</v>
      </c>
      <c r="D90" s="262">
        <f t="shared" si="3"/>
        <v>3.5769950249564531E-6</v>
      </c>
      <c r="E90" s="21">
        <f t="shared" si="3"/>
        <v>7.2838991483914484E-4</v>
      </c>
      <c r="F90" s="21">
        <f t="shared" si="3"/>
        <v>3.8443807318655487E-6</v>
      </c>
      <c r="G90" s="21">
        <f t="shared" si="3"/>
        <v>2.1494940882771374E-6</v>
      </c>
    </row>
    <row r="91" spans="2:7" x14ac:dyDescent="0.25">
      <c r="B91" s="18">
        <v>79</v>
      </c>
      <c r="D91" s="262">
        <f t="shared" si="3"/>
        <v>2.2123911661564577E-6</v>
      </c>
      <c r="E91" s="21">
        <f t="shared" si="3"/>
        <v>6.0741797712760004E-4</v>
      </c>
      <c r="F91" s="21">
        <f t="shared" si="3"/>
        <v>2.8788599886198085E-6</v>
      </c>
      <c r="G91" s="21">
        <f t="shared" si="3"/>
        <v>1.5688719796624895E-6</v>
      </c>
    </row>
    <row r="92" spans="2:7" x14ac:dyDescent="0.25">
      <c r="B92" s="18">
        <v>80</v>
      </c>
      <c r="D92" s="262">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262">
        <f t="shared" si="4"/>
        <v>8.1910867733014925E-7</v>
      </c>
      <c r="E93" s="21">
        <f t="shared" si="4"/>
        <v>4.1988458802177941E-4</v>
      </c>
      <c r="F93" s="21">
        <f t="shared" si="4"/>
        <v>1.600209107888162E-6</v>
      </c>
      <c r="G93" s="21">
        <f t="shared" si="4"/>
        <v>8.2747050522691268E-7</v>
      </c>
    </row>
    <row r="94" spans="2:7" x14ac:dyDescent="0.25">
      <c r="B94" s="18">
        <v>82</v>
      </c>
      <c r="D94" s="262">
        <f t="shared" si="4"/>
        <v>4.9023867043640479E-7</v>
      </c>
      <c r="E94" s="21">
        <f t="shared" si="4"/>
        <v>3.4805926261005649E-4</v>
      </c>
      <c r="F94" s="21">
        <f t="shared" si="4"/>
        <v>1.18780502178506E-6</v>
      </c>
      <c r="G94" s="21">
        <f t="shared" si="4"/>
        <v>5.9796227502850741E-7</v>
      </c>
    </row>
    <row r="95" spans="2:7" x14ac:dyDescent="0.25">
      <c r="B95" s="18">
        <v>83</v>
      </c>
      <c r="D95" s="262">
        <f t="shared" si="4"/>
        <v>2.9016488611866009E-7</v>
      </c>
      <c r="E95" s="21">
        <f t="shared" si="4"/>
        <v>2.8794813021293386E-4</v>
      </c>
      <c r="F95" s="21">
        <f t="shared" si="4"/>
        <v>8.7911285406860884E-7</v>
      </c>
      <c r="G95" s="21">
        <f t="shared" si="4"/>
        <v>4.3068438082549676E-7</v>
      </c>
    </row>
    <row r="96" spans="2:7" x14ac:dyDescent="0.25">
      <c r="B96" s="18">
        <v>84</v>
      </c>
      <c r="D96" s="262">
        <f t="shared" si="4"/>
        <v>1.6983180561869204E-7</v>
      </c>
      <c r="E96" s="21">
        <f t="shared" si="4"/>
        <v>2.3774718659497207E-4</v>
      </c>
      <c r="F96" s="21">
        <f t="shared" si="4"/>
        <v>6.4875128347186006E-7</v>
      </c>
      <c r="G96" s="21">
        <f t="shared" si="4"/>
        <v>3.0918053173234483E-7</v>
      </c>
    </row>
    <row r="97" spans="2:7" x14ac:dyDescent="0.25">
      <c r="B97" s="18">
        <v>85</v>
      </c>
      <c r="D97" s="262">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5" workbookViewId="0">
      <selection activeCell="B34" sqref="B34"/>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978"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136</v>
      </c>
      <c r="L2" s="25" t="s">
        <v>94</v>
      </c>
      <c r="Y2" s="25" t="s">
        <v>85</v>
      </c>
      <c r="AK2" s="25" t="s">
        <v>85</v>
      </c>
      <c r="AL2" s="22"/>
    </row>
    <row r="3" spans="1:50" x14ac:dyDescent="0.25">
      <c r="A3" s="22" t="s">
        <v>388</v>
      </c>
      <c r="D3" s="22" t="s">
        <v>389</v>
      </c>
      <c r="L3" s="25" t="s">
        <v>85</v>
      </c>
      <c r="Y3" s="25" t="s">
        <v>88</v>
      </c>
      <c r="AD3" s="22" t="s">
        <v>106</v>
      </c>
      <c r="AK3" s="25" t="s">
        <v>88</v>
      </c>
      <c r="AL3" s="22"/>
    </row>
    <row r="4" spans="1:50" x14ac:dyDescent="0.25">
      <c r="L4" s="25" t="s">
        <v>88</v>
      </c>
      <c r="Y4" s="26" t="s">
        <v>78</v>
      </c>
      <c r="Z4" s="27">
        <v>2</v>
      </c>
      <c r="AA4" s="22" t="s">
        <v>86</v>
      </c>
      <c r="AD4" s="28">
        <v>2.8</v>
      </c>
      <c r="AE4" s="332">
        <v>2</v>
      </c>
      <c r="AF4" s="28">
        <v>3</v>
      </c>
      <c r="AK4" s="26" t="s">
        <v>78</v>
      </c>
      <c r="AL4" s="27">
        <v>4</v>
      </c>
    </row>
    <row r="5" spans="1:50" x14ac:dyDescent="0.25">
      <c r="A5" s="22" t="s">
        <v>78</v>
      </c>
      <c r="B5" s="27">
        <v>4</v>
      </c>
      <c r="C5" s="22" t="s">
        <v>387</v>
      </c>
      <c r="F5"/>
      <c r="G5"/>
      <c r="L5" s="25" t="s">
        <v>78</v>
      </c>
      <c r="M5" s="27">
        <v>7</v>
      </c>
      <c r="O5" s="27">
        <v>3</v>
      </c>
      <c r="P5" s="22" t="s">
        <v>86</v>
      </c>
      <c r="Y5" s="26" t="s">
        <v>79</v>
      </c>
      <c r="Z5" s="27">
        <v>0.6</v>
      </c>
      <c r="AA5" s="22" t="s">
        <v>87</v>
      </c>
      <c r="AD5" s="28">
        <v>0.56999999999999995</v>
      </c>
      <c r="AE5" s="333">
        <v>0.6</v>
      </c>
      <c r="AF5" s="28">
        <v>0.7</v>
      </c>
      <c r="AK5" s="26" t="s">
        <v>79</v>
      </c>
      <c r="AL5" s="27">
        <v>0.6</v>
      </c>
    </row>
    <row r="6" spans="1:50" x14ac:dyDescent="0.25">
      <c r="A6" s="22" t="s">
        <v>79</v>
      </c>
      <c r="B6" s="27">
        <v>1</v>
      </c>
      <c r="C6" s="22" t="s">
        <v>449</v>
      </c>
      <c r="F6"/>
      <c r="G6"/>
      <c r="L6" s="25" t="s">
        <v>79</v>
      </c>
      <c r="M6" s="27">
        <v>0.8</v>
      </c>
      <c r="O6" s="27">
        <v>0.56999999999999995</v>
      </c>
      <c r="P6" s="22" t="s">
        <v>87</v>
      </c>
      <c r="Y6" s="26" t="s">
        <v>101</v>
      </c>
      <c r="Z6" s="27">
        <v>1</v>
      </c>
      <c r="AA6" s="22" t="s">
        <v>96</v>
      </c>
      <c r="AD6" s="28">
        <v>1</v>
      </c>
      <c r="AE6" s="333">
        <v>1</v>
      </c>
      <c r="AF6" s="28">
        <v>1</v>
      </c>
      <c r="AK6" s="26" t="s">
        <v>101</v>
      </c>
      <c r="AL6" s="27">
        <v>1</v>
      </c>
    </row>
    <row r="7" spans="1:50" x14ac:dyDescent="0.25">
      <c r="L7" s="25" t="s">
        <v>97</v>
      </c>
      <c r="M7" s="27">
        <v>1</v>
      </c>
      <c r="O7" s="27">
        <v>1</v>
      </c>
      <c r="P7" s="22" t="s">
        <v>96</v>
      </c>
      <c r="AE7" s="29" t="s">
        <v>184</v>
      </c>
      <c r="AK7" s="25"/>
      <c r="AL7" s="22"/>
    </row>
    <row r="8" spans="1:50" s="31" customFormat="1" ht="45" x14ac:dyDescent="0.25">
      <c r="A8" s="30" t="s">
        <v>80</v>
      </c>
      <c r="B8" s="30" t="s">
        <v>391</v>
      </c>
      <c r="C8" s="31" t="s">
        <v>392</v>
      </c>
      <c r="D8" s="31" t="s">
        <v>390</v>
      </c>
      <c r="L8" s="32" t="s">
        <v>90</v>
      </c>
      <c r="M8" s="30" t="s">
        <v>137</v>
      </c>
      <c r="N8" s="30" t="s">
        <v>91</v>
      </c>
      <c r="O8" s="30" t="s">
        <v>89</v>
      </c>
      <c r="Y8" s="32" t="s">
        <v>99</v>
      </c>
      <c r="Z8" s="30" t="s">
        <v>98</v>
      </c>
      <c r="AJ8"/>
      <c r="AK8" s="1197" t="s">
        <v>3</v>
      </c>
      <c r="AL8" s="1195" t="s">
        <v>3</v>
      </c>
      <c r="AM8" s="30" t="s">
        <v>98</v>
      </c>
      <c r="AN8" s="1198" t="s">
        <v>408</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978">
        <v>2020</v>
      </c>
      <c r="AN9" s="1199">
        <f>AN10</f>
        <v>2</v>
      </c>
      <c r="AX9"/>
    </row>
    <row r="10" spans="1:50" x14ac:dyDescent="0.25">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978">
        <v>2021</v>
      </c>
      <c r="AN10" s="1199">
        <f t="shared" ref="AN10:AN22" si="4">AN11</f>
        <v>2</v>
      </c>
      <c r="AX10"/>
    </row>
    <row r="11" spans="1:50" x14ac:dyDescent="0.25">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978">
        <v>2022</v>
      </c>
      <c r="AN11" s="1199">
        <f t="shared" si="4"/>
        <v>2</v>
      </c>
      <c r="AX11"/>
    </row>
    <row r="12" spans="1:50" x14ac:dyDescent="0.25">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978">
        <v>2023</v>
      </c>
      <c r="AN12" s="1199">
        <f t="shared" si="4"/>
        <v>2</v>
      </c>
      <c r="AX12"/>
    </row>
    <row r="13" spans="1:50" x14ac:dyDescent="0.25">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978">
        <v>2024</v>
      </c>
      <c r="AN13" s="1199">
        <f t="shared" si="4"/>
        <v>2</v>
      </c>
      <c r="AX13"/>
    </row>
    <row r="14" spans="1:50" x14ac:dyDescent="0.25">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978">
        <v>2025</v>
      </c>
      <c r="AN14" s="1199">
        <f t="shared" si="4"/>
        <v>2</v>
      </c>
      <c r="AX14"/>
    </row>
    <row r="15" spans="1:50" x14ac:dyDescent="0.25">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978">
        <v>2026</v>
      </c>
      <c r="AN15" s="1199">
        <f t="shared" si="4"/>
        <v>2</v>
      </c>
      <c r="AX15"/>
    </row>
    <row r="16" spans="1:50" x14ac:dyDescent="0.25">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978">
        <v>2027</v>
      </c>
      <c r="AN16" s="1199">
        <f t="shared" si="4"/>
        <v>2</v>
      </c>
      <c r="AX16"/>
    </row>
    <row r="17" spans="1:50" x14ac:dyDescent="0.25">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978">
        <v>2028</v>
      </c>
      <c r="AN17" s="1199">
        <f t="shared" si="4"/>
        <v>2</v>
      </c>
      <c r="AX17"/>
    </row>
    <row r="18" spans="1:50" x14ac:dyDescent="0.25">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978">
        <v>2029</v>
      </c>
      <c r="AN18" s="1199">
        <f t="shared" si="4"/>
        <v>2</v>
      </c>
      <c r="AX18"/>
    </row>
    <row r="19" spans="1:50" x14ac:dyDescent="0.25">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978">
        <v>2030</v>
      </c>
      <c r="AN19" s="1199">
        <f t="shared" si="4"/>
        <v>2</v>
      </c>
      <c r="AX19"/>
    </row>
    <row r="20" spans="1:50" x14ac:dyDescent="0.25">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978">
        <v>2031</v>
      </c>
      <c r="AN20" s="1199">
        <f t="shared" si="4"/>
        <v>2</v>
      </c>
      <c r="AX20"/>
    </row>
    <row r="21" spans="1:50" x14ac:dyDescent="0.25">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978">
        <v>2032</v>
      </c>
      <c r="AN21" s="1199">
        <f t="shared" si="4"/>
        <v>2</v>
      </c>
      <c r="AX21"/>
    </row>
    <row r="22" spans="1:50" x14ac:dyDescent="0.25">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978">
        <v>2033</v>
      </c>
      <c r="AN22" s="1199">
        <f t="shared" si="4"/>
        <v>2</v>
      </c>
      <c r="AX22"/>
    </row>
    <row r="23" spans="1:50" ht="15" customHeight="1" x14ac:dyDescent="0.25">
      <c r="A23" s="22">
        <v>14</v>
      </c>
      <c r="B23" s="22">
        <f t="shared" si="5"/>
        <v>0.99995460213129761</v>
      </c>
      <c r="C23" s="22">
        <v>0.99995460213129761</v>
      </c>
      <c r="D23" s="22">
        <v>1</v>
      </c>
      <c r="E23" s="1192"/>
      <c r="F23" s="1192"/>
      <c r="G23" s="1192"/>
      <c r="H23" s="1192"/>
      <c r="I23" s="1192"/>
      <c r="J23" s="1192"/>
      <c r="L23" s="25">
        <v>0.375</v>
      </c>
      <c r="M23" s="22">
        <f t="shared" si="2"/>
        <v>0.9950396809351163</v>
      </c>
      <c r="N23" s="22">
        <f t="shared" si="3"/>
        <v>-0.625</v>
      </c>
      <c r="O23" s="22">
        <f t="shared" si="0"/>
        <v>0.26758881673355606</v>
      </c>
      <c r="Y23" s="35">
        <v>0.7</v>
      </c>
      <c r="Z23" s="34">
        <f t="shared" si="1"/>
        <v>0.25637575668641222</v>
      </c>
      <c r="AK23" s="978">
        <v>2034</v>
      </c>
      <c r="AN23" s="1199">
        <f>AN24</f>
        <v>2</v>
      </c>
      <c r="AX23"/>
    </row>
    <row r="24" spans="1:50" x14ac:dyDescent="0.25">
      <c r="A24" s="22">
        <v>15</v>
      </c>
      <c r="B24" s="22">
        <f t="shared" si="5"/>
        <v>0.99998329857815205</v>
      </c>
      <c r="C24" s="22">
        <v>0.99998329857815205</v>
      </c>
      <c r="D24" s="1192">
        <v>1</v>
      </c>
      <c r="E24" s="1192"/>
      <c r="F24" s="1192"/>
      <c r="G24" s="1192"/>
      <c r="H24" s="1192"/>
      <c r="I24" s="1192"/>
      <c r="J24" s="1192"/>
      <c r="L24" s="25">
        <v>0.4</v>
      </c>
      <c r="M24" s="22">
        <f t="shared" si="2"/>
        <v>0.99221793826024351</v>
      </c>
      <c r="N24" s="22">
        <f t="shared" si="3"/>
        <v>-0.6</v>
      </c>
      <c r="O24" s="22">
        <f t="shared" si="0"/>
        <v>0.31150160758012346</v>
      </c>
      <c r="Y24" s="35">
        <v>0.75</v>
      </c>
      <c r="Z24" s="34">
        <f t="shared" si="1"/>
        <v>0.20961138715109784</v>
      </c>
      <c r="AK24" s="978">
        <v>2035</v>
      </c>
      <c r="AL24" s="1196">
        <f t="shared" ref="AL24:AL39" si="6">(AK24-$AK$24)/15</f>
        <v>0</v>
      </c>
      <c r="AM24" s="34">
        <f t="shared" ref="AM24:AM39" si="7">WEIBULL(AL24,AL$4,AL$5,1)</f>
        <v>0</v>
      </c>
      <c r="AN24" s="1199">
        <f>2-AM24</f>
        <v>2</v>
      </c>
      <c r="AX24"/>
    </row>
    <row r="25" spans="1:50" x14ac:dyDescent="0.25">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978">
        <v>2036</v>
      </c>
      <c r="AL25" s="1196">
        <f t="shared" si="6"/>
        <v>6.6666666666666666E-2</v>
      </c>
      <c r="AM25" s="34">
        <f t="shared" si="7"/>
        <v>1.5240417557940526E-4</v>
      </c>
      <c r="AN25" s="1199">
        <f t="shared" ref="AN25:AN39" si="8">2-AM25</f>
        <v>1.9998475958244206</v>
      </c>
      <c r="AX25"/>
    </row>
    <row r="26" spans="1:50" x14ac:dyDescent="0.25">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978">
        <v>2037</v>
      </c>
      <c r="AL26" s="1196">
        <f t="shared" si="6"/>
        <v>0.13333333333333333</v>
      </c>
      <c r="AM26" s="34">
        <f t="shared" si="7"/>
        <v>2.4356815467030703E-3</v>
      </c>
      <c r="AN26" s="1199">
        <f t="shared" si="8"/>
        <v>1.997564318453297</v>
      </c>
      <c r="AX26"/>
    </row>
    <row r="27" spans="1:50" x14ac:dyDescent="0.25">
      <c r="A27" s="22">
        <v>18</v>
      </c>
      <c r="B27" s="22">
        <f t="shared" si="5"/>
        <v>0.99999916847197223</v>
      </c>
      <c r="C27" s="22">
        <v>0.99999916847197201</v>
      </c>
      <c r="D27" s="22">
        <v>1</v>
      </c>
      <c r="L27" s="25">
        <v>0.47499999999999998</v>
      </c>
      <c r="M27" s="22">
        <f t="shared" si="2"/>
        <v>0.97432038550085287</v>
      </c>
      <c r="N27" s="22">
        <f t="shared" si="3"/>
        <v>-0.52500000000000002</v>
      </c>
      <c r="O27" s="22">
        <f t="shared" si="0"/>
        <v>0.45778121686063711</v>
      </c>
      <c r="Y27" s="35">
        <v>0.9</v>
      </c>
      <c r="Z27" s="34">
        <f t="shared" si="1"/>
        <v>0.10539922456186435</v>
      </c>
      <c r="AK27" s="978">
        <v>2038</v>
      </c>
      <c r="AL27" s="1196">
        <f t="shared" si="6"/>
        <v>0.2</v>
      </c>
      <c r="AM27" s="34">
        <f t="shared" si="7"/>
        <v>1.2269783764389463E-2</v>
      </c>
      <c r="AN27" s="1199">
        <f t="shared" si="8"/>
        <v>1.9877302162356105</v>
      </c>
      <c r="AX27"/>
    </row>
    <row r="28" spans="1:50" x14ac:dyDescent="0.25">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978">
        <v>2039</v>
      </c>
      <c r="AL28" s="1196">
        <f t="shared" si="6"/>
        <v>0.26666666666666666</v>
      </c>
      <c r="AM28" s="34">
        <f t="shared" si="7"/>
        <v>3.826702759539987E-2</v>
      </c>
      <c r="AN28" s="1199">
        <f t="shared" si="8"/>
        <v>1.9617329724046002</v>
      </c>
      <c r="AX28"/>
    </row>
    <row r="29" spans="1:50" x14ac:dyDescent="0.25">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978">
        <v>2040</v>
      </c>
      <c r="AL29" s="1196">
        <f t="shared" si="6"/>
        <v>0.33333333333333331</v>
      </c>
      <c r="AM29" s="34">
        <f t="shared" si="7"/>
        <v>9.0863352593165345E-2</v>
      </c>
      <c r="AN29" s="1199">
        <f t="shared" si="8"/>
        <v>1.9091366474068348</v>
      </c>
      <c r="AX29"/>
    </row>
    <row r="30" spans="1:50" x14ac:dyDescent="0.25">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978">
        <v>2041</v>
      </c>
      <c r="AL30" s="1196">
        <f t="shared" si="6"/>
        <v>0.4</v>
      </c>
      <c r="AM30" s="34">
        <f t="shared" si="7"/>
        <v>0.17924519170173203</v>
      </c>
      <c r="AN30" s="1199">
        <f t="shared" si="8"/>
        <v>1.8207548082982679</v>
      </c>
      <c r="AX30"/>
    </row>
    <row r="31" spans="1:50" x14ac:dyDescent="0.25">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978">
        <v>2042</v>
      </c>
      <c r="AL31" s="1196">
        <f t="shared" si="6"/>
        <v>0.46666666666666667</v>
      </c>
      <c r="AM31" s="34">
        <f t="shared" si="7"/>
        <v>0.30646273948068542</v>
      </c>
      <c r="AN31" s="1199">
        <f t="shared" si="8"/>
        <v>1.6935372605193146</v>
      </c>
      <c r="AX31"/>
    </row>
    <row r="32" spans="1:50" x14ac:dyDescent="0.25">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978">
        <v>2043</v>
      </c>
      <c r="AL32" s="1196">
        <f t="shared" si="6"/>
        <v>0.53333333333333333</v>
      </c>
      <c r="AM32" s="34">
        <f t="shared" si="7"/>
        <v>0.46436112035159544</v>
      </c>
      <c r="AN32" s="1199">
        <f t="shared" si="8"/>
        <v>1.5356388796484046</v>
      </c>
      <c r="AX32"/>
    </row>
    <row r="33" spans="1:50" x14ac:dyDescent="0.25">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978">
        <v>2044</v>
      </c>
      <c r="AL33" s="1196">
        <f t="shared" si="6"/>
        <v>0.6</v>
      </c>
      <c r="AM33" s="34">
        <f t="shared" si="7"/>
        <v>0.63212055882855767</v>
      </c>
      <c r="AN33" s="1199">
        <f t="shared" si="8"/>
        <v>1.3678794411714423</v>
      </c>
      <c r="AX33"/>
    </row>
    <row r="34" spans="1:50" x14ac:dyDescent="0.25">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978">
        <v>2045</v>
      </c>
      <c r="AL34" s="1196">
        <f t="shared" si="6"/>
        <v>0.66666666666666663</v>
      </c>
      <c r="AM34" s="34">
        <f t="shared" si="7"/>
        <v>0.78219560786090769</v>
      </c>
      <c r="AN34" s="1199">
        <f t="shared" si="8"/>
        <v>1.2178043921390924</v>
      </c>
      <c r="AX34"/>
    </row>
    <row r="35" spans="1:50" x14ac:dyDescent="0.25">
      <c r="L35" s="25">
        <v>0.67500000000000004</v>
      </c>
      <c r="M35" s="22">
        <f t="shared" si="2"/>
        <v>0.73753897394476564</v>
      </c>
      <c r="N35" s="22">
        <f t="shared" si="3"/>
        <v>-0.32499999999999996</v>
      </c>
      <c r="O35" s="22">
        <f t="shared" si="0"/>
        <v>0.83080177321422377</v>
      </c>
      <c r="Y35" s="35">
        <v>1.3</v>
      </c>
      <c r="Z35" s="34">
        <f t="shared" si="1"/>
        <v>9.1459470384278596E-3</v>
      </c>
      <c r="AK35" s="978">
        <v>2046</v>
      </c>
      <c r="AL35" s="1196">
        <f t="shared" si="6"/>
        <v>0.73333333333333328</v>
      </c>
      <c r="AM35" s="34">
        <f t="shared" si="7"/>
        <v>0.89263484441361618</v>
      </c>
      <c r="AN35" s="1199">
        <f t="shared" si="8"/>
        <v>1.1073651555863839</v>
      </c>
      <c r="AX35"/>
    </row>
    <row r="36" spans="1:50" x14ac:dyDescent="0.25">
      <c r="L36" s="25">
        <v>0.7</v>
      </c>
      <c r="M36" s="22">
        <f t="shared" si="2"/>
        <v>0.67523405249260549</v>
      </c>
      <c r="N36" s="22">
        <f t="shared" si="3"/>
        <v>-0.30000000000000004</v>
      </c>
      <c r="O36" s="22">
        <f t="shared" si="0"/>
        <v>0.86433586981998112</v>
      </c>
      <c r="Y36" s="35">
        <v>1.35</v>
      </c>
      <c r="Z36" s="34">
        <f t="shared" si="1"/>
        <v>6.329715427485727E-3</v>
      </c>
      <c r="AK36" s="978">
        <v>2047</v>
      </c>
      <c r="AL36" s="1196">
        <f t="shared" si="6"/>
        <v>0.8</v>
      </c>
      <c r="AM36" s="34">
        <f t="shared" si="7"/>
        <v>0.95759520473050741</v>
      </c>
      <c r="AN36" s="1199">
        <f t="shared" si="8"/>
        <v>1.0424047952694926</v>
      </c>
      <c r="AX36"/>
    </row>
    <row r="37" spans="1:50" x14ac:dyDescent="0.25">
      <c r="L37" s="25">
        <v>0.72499999999999998</v>
      </c>
      <c r="M37" s="22">
        <f t="shared" si="2"/>
        <v>0.60529612644814879</v>
      </c>
      <c r="N37" s="22">
        <f t="shared" si="3"/>
        <v>-0.27500000000000002</v>
      </c>
      <c r="O37" s="22">
        <f t="shared" si="0"/>
        <v>0.89377752699959134</v>
      </c>
      <c r="Y37" s="35">
        <v>1.4</v>
      </c>
      <c r="Z37" s="34">
        <f t="shared" si="1"/>
        <v>4.3202394740941008E-3</v>
      </c>
      <c r="AK37" s="978">
        <v>2048</v>
      </c>
      <c r="AL37" s="1196">
        <f t="shared" si="6"/>
        <v>0.8666666666666667</v>
      </c>
      <c r="AM37" s="34">
        <f t="shared" si="7"/>
        <v>0.98713374628095452</v>
      </c>
      <c r="AN37" s="1199">
        <f t="shared" si="8"/>
        <v>1.0128662537190456</v>
      </c>
      <c r="AX37"/>
    </row>
    <row r="38" spans="1:50" x14ac:dyDescent="0.25">
      <c r="L38" s="25">
        <v>0.75</v>
      </c>
      <c r="M38" s="22">
        <f t="shared" si="2"/>
        <v>0.52914077242073576</v>
      </c>
      <c r="N38" s="22">
        <f t="shared" si="3"/>
        <v>-0.25</v>
      </c>
      <c r="O38" s="22">
        <f t="shared" si="0"/>
        <v>0.91908980640374016</v>
      </c>
      <c r="Y38" s="35">
        <v>1.45</v>
      </c>
      <c r="Z38" s="34">
        <f t="shared" si="1"/>
        <v>2.9080347261855044E-3</v>
      </c>
      <c r="AK38" s="978">
        <v>2049</v>
      </c>
      <c r="AL38" s="1196">
        <f t="shared" si="6"/>
        <v>0.93333333333333335</v>
      </c>
      <c r="AM38" s="34">
        <f t="shared" si="7"/>
        <v>0.99713505177129269</v>
      </c>
      <c r="AN38" s="1199">
        <f t="shared" si="8"/>
        <v>1.0028649482287073</v>
      </c>
      <c r="AX38"/>
    </row>
    <row r="39" spans="1:50" x14ac:dyDescent="0.25">
      <c r="L39" s="25">
        <v>0.77500000000000002</v>
      </c>
      <c r="M39" s="22">
        <f t="shared" si="2"/>
        <v>0.44900446071673594</v>
      </c>
      <c r="N39" s="22">
        <f t="shared" si="3"/>
        <v>-0.22499999999999998</v>
      </c>
      <c r="O39" s="22">
        <f t="shared" si="0"/>
        <v>0.94034657071919869</v>
      </c>
      <c r="Y39" s="35">
        <v>1.5</v>
      </c>
      <c r="Z39" s="34">
        <f t="shared" si="1"/>
        <v>1.9304541362277217E-3</v>
      </c>
      <c r="AK39" s="978">
        <v>2050</v>
      </c>
      <c r="AL39" s="1196">
        <f t="shared" si="6"/>
        <v>1</v>
      </c>
      <c r="AM39" s="34">
        <f t="shared" si="7"/>
        <v>0.99955438240440797</v>
      </c>
      <c r="AN39" s="1199">
        <f t="shared" si="8"/>
        <v>1.000445617595592</v>
      </c>
      <c r="AX39"/>
    </row>
    <row r="40" spans="1:50" x14ac:dyDescent="0.25">
      <c r="L40" s="25">
        <v>0.8</v>
      </c>
      <c r="M40" s="22">
        <f t="shared" si="2"/>
        <v>0.36787944117144233</v>
      </c>
      <c r="N40" s="22">
        <f t="shared" si="3"/>
        <v>-0.19999999999999996</v>
      </c>
      <c r="O40" s="22">
        <f t="shared" si="0"/>
        <v>0.95772157283543613</v>
      </c>
      <c r="Z40" s="29"/>
    </row>
    <row r="41" spans="1:50" x14ac:dyDescent="0.25">
      <c r="L41" s="25">
        <v>0.82499999999999996</v>
      </c>
      <c r="M41" s="22">
        <f t="shared" si="2"/>
        <v>0.2892800760938834</v>
      </c>
      <c r="N41" s="22">
        <f t="shared" si="3"/>
        <v>-0.17500000000000004</v>
      </c>
      <c r="O41" s="22">
        <f t="shared" si="0"/>
        <v>0.97147533043809331</v>
      </c>
      <c r="Z41" s="29"/>
    </row>
    <row r="42" spans="1:50" x14ac:dyDescent="0.25">
      <c r="L42" s="25">
        <v>0.85</v>
      </c>
      <c r="M42" s="22">
        <f t="shared" si="2"/>
        <v>0.21683237755298213</v>
      </c>
      <c r="N42" s="22">
        <f t="shared" si="3"/>
        <v>-0.15000000000000002</v>
      </c>
      <c r="O42" s="22">
        <f t="shared" si="0"/>
        <v>0.98194082615872769</v>
      </c>
      <c r="Z42" s="29"/>
    </row>
    <row r="43" spans="1:50" x14ac:dyDescent="0.25">
      <c r="L43" s="25">
        <v>0.875</v>
      </c>
      <c r="M43" s="22">
        <f t="shared" si="2"/>
        <v>0.15373576100167052</v>
      </c>
      <c r="N43" s="22">
        <f t="shared" si="3"/>
        <v>-0.125</v>
      </c>
      <c r="O43" s="22">
        <f t="shared" si="0"/>
        <v>0.98950898865769854</v>
      </c>
      <c r="Z43" s="29"/>
    </row>
    <row r="44" spans="1:50" x14ac:dyDescent="0.25">
      <c r="L44" s="25">
        <v>0.9</v>
      </c>
      <c r="M44" s="22">
        <f t="shared" si="2"/>
        <v>0.10221290412453365</v>
      </c>
      <c r="N44" s="22">
        <f t="shared" si="3"/>
        <v>-9.9999999999999978E-2</v>
      </c>
      <c r="O44" s="22">
        <f t="shared" si="0"/>
        <v>0.99461478043461715</v>
      </c>
      <c r="Z44" s="29"/>
    </row>
    <row r="45" spans="1:50" x14ac:dyDescent="0.25">
      <c r="L45" s="25">
        <v>0.92500000000000004</v>
      </c>
      <c r="M45" s="22">
        <f t="shared" si="2"/>
        <v>6.3109670968522158E-2</v>
      </c>
      <c r="N45" s="22">
        <f t="shared" si="3"/>
        <v>-7.4999999999999956E-2</v>
      </c>
      <c r="O45" s="22">
        <f t="shared" si="0"/>
        <v>0.99772456387142661</v>
      </c>
      <c r="Z45" s="29"/>
    </row>
    <row r="46" spans="1:50" x14ac:dyDescent="0.25">
      <c r="L46" s="25">
        <v>0.95</v>
      </c>
      <c r="M46" s="22">
        <f t="shared" si="2"/>
        <v>3.5795549198594179E-2</v>
      </c>
      <c r="N46" s="22">
        <f t="shared" si="3"/>
        <v>-5.0000000000000044E-2</v>
      </c>
      <c r="O46" s="22">
        <f t="shared" si="0"/>
        <v>0.99932525622582913</v>
      </c>
      <c r="Z46" s="29"/>
    </row>
    <row r="47" spans="1:50" x14ac:dyDescent="0.25">
      <c r="L47" s="25">
        <v>0.97499999999999998</v>
      </c>
      <c r="M47" s="22">
        <f t="shared" si="2"/>
        <v>1.842682212202218E-2</v>
      </c>
      <c r="N47" s="22">
        <f t="shared" si="3"/>
        <v>-2.5000000000000022E-2</v>
      </c>
      <c r="O47" s="22">
        <f t="shared" si="0"/>
        <v>0.99991563211964452</v>
      </c>
      <c r="Z47" s="29"/>
    </row>
    <row r="48" spans="1:50" x14ac:dyDescent="0.25">
      <c r="L48" s="25">
        <v>1</v>
      </c>
      <c r="M48" s="22">
        <f t="shared" si="2"/>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6" ma:contentTypeDescription="Create a new document." ma:contentTypeScope="" ma:versionID="92edab7d25c0fe475c2d08aa609056a2">
  <xsd:schema xmlns:xsd="http://www.w3.org/2001/XMLSchema" xmlns:xs="http://www.w3.org/2001/XMLSchema" xmlns:p="http://schemas.microsoft.com/office/2006/metadata/properties" xmlns:ns2="065de1db-e31c-4292-be75-d6c27d0859e3" targetNamespace="http://schemas.microsoft.com/office/2006/metadata/properties" ma:root="true" ma:fieldsID="f3f87cd003342753f10db35effe69518" ns2:_="">
    <xsd:import namespace="065de1db-e31c-4292-be75-d6c27d0859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9EDC76-E944-4D54-98CD-101819C56A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A4CD75-1477-4B2B-8830-2289E1577842}">
  <ds:schemaRefs>
    <ds:schemaRef ds:uri="http://schemas.microsoft.com/sharepoint/v3/contenttype/forms"/>
  </ds:schemaRefs>
</ds:datastoreItem>
</file>

<file path=customXml/itemProps3.xml><?xml version="1.0" encoding="utf-8"?>
<ds:datastoreItem xmlns:ds="http://schemas.openxmlformats.org/officeDocument/2006/customXml" ds:itemID="{AE5BFED3-A1B6-4F42-9F2C-4C550836CC7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235</vt:i4>
      </vt:variant>
    </vt:vector>
  </HeadingPairs>
  <TitlesOfParts>
    <vt:vector size="256"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Market Penetration</vt:lpstr>
      <vt:lpstr>Mkt Pen Veh-Mi</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kWhperBtu</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Arthur Yip</cp:lastModifiedBy>
  <cp:lastPrinted>2012-07-16T18:43:44Z</cp:lastPrinted>
  <dcterms:created xsi:type="dcterms:W3CDTF">2011-09-16T16:09:37Z</dcterms:created>
  <dcterms:modified xsi:type="dcterms:W3CDTF">2020-12-11T06:02:37Z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